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720" yWindow="540" windowWidth="20580" windowHeight="12855"/>
  </bookViews>
  <sheets>
    <sheet name="Rekapitulace" sheetId="13" r:id="rId1"/>
    <sheet name="D.1.1. ASR" sheetId="17" r:id="rId2"/>
  </sheets>
  <externalReferences>
    <externalReference r:id="rId3"/>
    <externalReference r:id="rId4"/>
    <externalReference r:id="rId5"/>
    <externalReference r:id="rId6"/>
  </externalReferences>
  <definedNames>
    <definedName name="__obl11" localSheetId="1">#REF!</definedName>
    <definedName name="__obl11">#REF!</definedName>
    <definedName name="__obl12" localSheetId="1">#REF!</definedName>
    <definedName name="__obl12">#REF!</definedName>
    <definedName name="__obl13" localSheetId="1">#REF!</definedName>
    <definedName name="__obl13">#REF!</definedName>
    <definedName name="__obl14" localSheetId="1">#REF!</definedName>
    <definedName name="__obl14">#REF!</definedName>
    <definedName name="__obl15" localSheetId="1">#REF!</definedName>
    <definedName name="__obl15">#REF!</definedName>
    <definedName name="__obl16" localSheetId="1">#REF!</definedName>
    <definedName name="__obl16">#REF!</definedName>
    <definedName name="__obl17" localSheetId="1">#REF!</definedName>
    <definedName name="__obl17">#REF!</definedName>
    <definedName name="__obl1710" localSheetId="1">#REF!</definedName>
    <definedName name="__obl1710">#REF!</definedName>
    <definedName name="__obl1711" localSheetId="1">#REF!</definedName>
    <definedName name="__obl1711">#REF!</definedName>
    <definedName name="__obl1712" localSheetId="1">#REF!</definedName>
    <definedName name="__obl1712">#REF!</definedName>
    <definedName name="__obl1713" localSheetId="1">#REF!</definedName>
    <definedName name="__obl1713">#REF!</definedName>
    <definedName name="__obl1714" localSheetId="1">#REF!</definedName>
    <definedName name="__obl1714">#REF!</definedName>
    <definedName name="__obl1715" localSheetId="1">#REF!</definedName>
    <definedName name="__obl1715">#REF!</definedName>
    <definedName name="__obl1716" localSheetId="1">#REF!</definedName>
    <definedName name="__obl1716">#REF!</definedName>
    <definedName name="__obl1717" localSheetId="1">#REF!</definedName>
    <definedName name="__obl1717">#REF!</definedName>
    <definedName name="__obl1718" localSheetId="1">#REF!</definedName>
    <definedName name="__obl1718">#REF!</definedName>
    <definedName name="__obl1719" localSheetId="1">#REF!</definedName>
    <definedName name="__obl1719">#REF!</definedName>
    <definedName name="__obl173" localSheetId="1">#REF!</definedName>
    <definedName name="__obl173">#REF!</definedName>
    <definedName name="__obl174" localSheetId="1">#REF!</definedName>
    <definedName name="__obl174">#REF!</definedName>
    <definedName name="__obl175" localSheetId="1">#REF!</definedName>
    <definedName name="__obl175">#REF!</definedName>
    <definedName name="__obl176" localSheetId="1">#REF!</definedName>
    <definedName name="__obl176">#REF!</definedName>
    <definedName name="__obl177" localSheetId="1">#REF!</definedName>
    <definedName name="__obl177">#REF!</definedName>
    <definedName name="__obl178" localSheetId="1">#REF!</definedName>
    <definedName name="__obl178">#REF!</definedName>
    <definedName name="__obl179" localSheetId="1">#REF!</definedName>
    <definedName name="__obl179">#REF!</definedName>
    <definedName name="__obl18" localSheetId="1">#REF!</definedName>
    <definedName name="__obl18">#REF!</definedName>
    <definedName name="__obl181" localSheetId="1">#REF!</definedName>
    <definedName name="__obl181">#REF!</definedName>
    <definedName name="__obl1816" localSheetId="1">#REF!</definedName>
    <definedName name="__obl1816">#REF!</definedName>
    <definedName name="__obl1820" localSheetId="1">#REF!</definedName>
    <definedName name="__obl1820">#REF!</definedName>
    <definedName name="__obl1821" localSheetId="1">#REF!</definedName>
    <definedName name="__obl1821">#REF!</definedName>
    <definedName name="__obl1822" localSheetId="1">#REF!</definedName>
    <definedName name="__obl1822">#REF!</definedName>
    <definedName name="__obl1823" localSheetId="1">#REF!</definedName>
    <definedName name="__obl1823">#REF!</definedName>
    <definedName name="__obl1824" localSheetId="1">#REF!</definedName>
    <definedName name="__obl1824">#REF!</definedName>
    <definedName name="__obl1825" localSheetId="1">#REF!</definedName>
    <definedName name="__obl1825">#REF!</definedName>
    <definedName name="__obl1826" localSheetId="1">#REF!</definedName>
    <definedName name="__obl1826">#REF!</definedName>
    <definedName name="__obl1827" localSheetId="1">#REF!</definedName>
    <definedName name="__obl1827">#REF!</definedName>
    <definedName name="__obl1828" localSheetId="1">#REF!</definedName>
    <definedName name="__obl1828">#REF!</definedName>
    <definedName name="__obl1829" localSheetId="1">#REF!</definedName>
    <definedName name="__obl1829">#REF!</definedName>
    <definedName name="__obl183" localSheetId="1">#REF!</definedName>
    <definedName name="__obl183">#REF!</definedName>
    <definedName name="__obl1831" localSheetId="1">#REF!</definedName>
    <definedName name="__obl1831">#REF!</definedName>
    <definedName name="__obl1832" localSheetId="1">#REF!</definedName>
    <definedName name="__obl1832">#REF!</definedName>
    <definedName name="__obl184" localSheetId="1">#REF!</definedName>
    <definedName name="__obl184">#REF!</definedName>
    <definedName name="__obl185" localSheetId="1">#REF!</definedName>
    <definedName name="__obl185">#REF!</definedName>
    <definedName name="__obl186" localSheetId="1">#REF!</definedName>
    <definedName name="__obl186">#REF!</definedName>
    <definedName name="__obl187" localSheetId="1">#REF!</definedName>
    <definedName name="__obl187">#REF!</definedName>
    <definedName name="_obl11" localSheetId="1">#REF!</definedName>
    <definedName name="_obl11">#REF!</definedName>
    <definedName name="_obl12" localSheetId="1">#REF!</definedName>
    <definedName name="_obl12">#REF!</definedName>
    <definedName name="_obl13" localSheetId="1">#REF!</definedName>
    <definedName name="_obl13">#REF!</definedName>
    <definedName name="_obl14" localSheetId="1">#REF!</definedName>
    <definedName name="_obl14">#REF!</definedName>
    <definedName name="_obl15" localSheetId="1">#REF!</definedName>
    <definedName name="_obl15">#REF!</definedName>
    <definedName name="_obl16" localSheetId="1">#REF!</definedName>
    <definedName name="_obl16">#REF!</definedName>
    <definedName name="_obl17" localSheetId="1">#REF!</definedName>
    <definedName name="_obl17">#REF!</definedName>
    <definedName name="_obl1710" localSheetId="1">#REF!</definedName>
    <definedName name="_obl1710">#REF!</definedName>
    <definedName name="_obl1711" localSheetId="1">#REF!</definedName>
    <definedName name="_obl1711">#REF!</definedName>
    <definedName name="_obl1712" localSheetId="1">#REF!</definedName>
    <definedName name="_obl1712">#REF!</definedName>
    <definedName name="_obl1713" localSheetId="1">#REF!</definedName>
    <definedName name="_obl1713">#REF!</definedName>
    <definedName name="_obl1714" localSheetId="1">#REF!</definedName>
    <definedName name="_obl1714">#REF!</definedName>
    <definedName name="_obl1715" localSheetId="1">#REF!</definedName>
    <definedName name="_obl1715">#REF!</definedName>
    <definedName name="_obl1716" localSheetId="1">#REF!</definedName>
    <definedName name="_obl1716">#REF!</definedName>
    <definedName name="_obl1717" localSheetId="1">#REF!</definedName>
    <definedName name="_obl1717">#REF!</definedName>
    <definedName name="_obl1718" localSheetId="1">#REF!</definedName>
    <definedName name="_obl1718">#REF!</definedName>
    <definedName name="_obl1719" localSheetId="1">#REF!</definedName>
    <definedName name="_obl1719">#REF!</definedName>
    <definedName name="_obl173" localSheetId="1">#REF!</definedName>
    <definedName name="_obl173">#REF!</definedName>
    <definedName name="_obl174" localSheetId="1">#REF!</definedName>
    <definedName name="_obl174">#REF!</definedName>
    <definedName name="_obl175" localSheetId="1">#REF!</definedName>
    <definedName name="_obl175">#REF!</definedName>
    <definedName name="_obl176" localSheetId="1">#REF!</definedName>
    <definedName name="_obl176">#REF!</definedName>
    <definedName name="_obl177" localSheetId="1">#REF!</definedName>
    <definedName name="_obl177">#REF!</definedName>
    <definedName name="_obl178" localSheetId="1">#REF!</definedName>
    <definedName name="_obl178">#REF!</definedName>
    <definedName name="_obl179" localSheetId="1">#REF!</definedName>
    <definedName name="_obl179">#REF!</definedName>
    <definedName name="_obl18" localSheetId="1">#REF!</definedName>
    <definedName name="_obl18">#REF!</definedName>
    <definedName name="_obl181" localSheetId="1">#REF!</definedName>
    <definedName name="_obl181">#REF!</definedName>
    <definedName name="_obl1816" localSheetId="1">#REF!</definedName>
    <definedName name="_obl1816">#REF!</definedName>
    <definedName name="_obl1820" localSheetId="1">#REF!</definedName>
    <definedName name="_obl1820">#REF!</definedName>
    <definedName name="_obl1821" localSheetId="1">#REF!</definedName>
    <definedName name="_obl1821">#REF!</definedName>
    <definedName name="_obl1822" localSheetId="1">#REF!</definedName>
    <definedName name="_obl1822">#REF!</definedName>
    <definedName name="_obl1823" localSheetId="1">#REF!</definedName>
    <definedName name="_obl1823">#REF!</definedName>
    <definedName name="_obl1824" localSheetId="1">#REF!</definedName>
    <definedName name="_obl1824">#REF!</definedName>
    <definedName name="_obl1825" localSheetId="1">#REF!</definedName>
    <definedName name="_obl1825">#REF!</definedName>
    <definedName name="_obl1826" localSheetId="1">#REF!</definedName>
    <definedName name="_obl1826">#REF!</definedName>
    <definedName name="_obl1827" localSheetId="1">#REF!</definedName>
    <definedName name="_obl1827">#REF!</definedName>
    <definedName name="_obl1828" localSheetId="1">#REF!</definedName>
    <definedName name="_obl1828">#REF!</definedName>
    <definedName name="_obl1829" localSheetId="1">#REF!</definedName>
    <definedName name="_obl1829">#REF!</definedName>
    <definedName name="_obl183" localSheetId="1">#REF!</definedName>
    <definedName name="_obl183">#REF!</definedName>
    <definedName name="_obl1831" localSheetId="1">#REF!</definedName>
    <definedName name="_obl1831">#REF!</definedName>
    <definedName name="_obl1832" localSheetId="1">#REF!</definedName>
    <definedName name="_obl1832">#REF!</definedName>
    <definedName name="_obl184" localSheetId="1">#REF!</definedName>
    <definedName name="_obl184">#REF!</definedName>
    <definedName name="_obl185" localSheetId="1">#REF!</definedName>
    <definedName name="_obl185">#REF!</definedName>
    <definedName name="_obl186" localSheetId="1">#REF!</definedName>
    <definedName name="_obl186">#REF!</definedName>
    <definedName name="_obl187" localSheetId="1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DATE(YEAR([2]!Loan_Start),MONTH([2]!Loan_Start)+Payment_Number,DAY([2]!Loan_Start))</definedName>
    <definedName name="_VZT2">DATE(YEAR([1]!Loan_Start),MONTH([1]!Loan_Start)+Payment_Number,DAY([1]!Loan_Start))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1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1">'[4]F.1.4.5. ZZTI'!#REF!</definedName>
    <definedName name="a" localSheetId="0">'[4]F.1.4.5. ZZTI'!#REF!</definedName>
    <definedName name="a">'[4]F.1.4.5. ZZTI'!#REF!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 localSheetId="1">#REF!</definedName>
    <definedName name="bghrerr" localSheetId="0">#REF!</definedName>
    <definedName name="bghrerr">#REF!</definedName>
    <definedName name="bhvfdgvf" localSheetId="1">#REF!</definedName>
    <definedName name="bhvfdgvf" localSheetId="0">#REF!</definedName>
    <definedName name="bhvfdgvf">#REF!</definedName>
    <definedName name="body_celkem" localSheetId="1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rozp" localSheetId="1">#REF!</definedName>
    <definedName name="celkrozp" localSheetId="0">#REF!</definedName>
    <definedName name="celkrozp">#REF!</definedName>
    <definedName name="cisloobjektu" localSheetId="1">#REF!</definedName>
    <definedName name="cisloobjektu" localSheetId="0">#REF!</definedName>
    <definedName name="cisloobjektu">#REF!</definedName>
    <definedName name="cislostavby" localSheetId="1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 localSheetId="0">#REF!</definedName>
    <definedName name="Data">#REF!</definedName>
    <definedName name="Datum" localSheetId="1">#REF!</definedName>
    <definedName name="Datum" localSheetId="0">#REF!</definedName>
    <definedName name="Datum">#REF!</definedName>
    <definedName name="dfdaf" localSheetId="1">#REF!</definedName>
    <definedName name="dfdaf" localSheetId="0">#REF!</definedName>
    <definedName name="dfdaf">#REF!</definedName>
    <definedName name="Dil" localSheetId="1">#REF!</definedName>
    <definedName name="Dil" localSheetId="0">#REF!</definedName>
    <definedName name="Dil">#REF!</definedName>
    <definedName name="DKGJSDGS" localSheetId="1">#REF!</definedName>
    <definedName name="DKGJSDGS" localSheetId="0">#REF!</definedName>
    <definedName name="DKGJSDGS">#REF!</definedName>
    <definedName name="dod" localSheetId="1">'[4]F.1.4.5. ZZTI'!#REF!</definedName>
    <definedName name="dod" localSheetId="0">'[4]F.1.4.5. ZZTI'!#REF!</definedName>
    <definedName name="dod">'[4]F.1.4.5. ZZTI'!#REF!</definedName>
    <definedName name="Dodavka" localSheetId="1">#REF!</definedName>
    <definedName name="Dodavka" localSheetId="0">#REF!</definedName>
    <definedName name="Dodavka">#REF!</definedName>
    <definedName name="Dodavka0" localSheetId="1">#REF!</definedName>
    <definedName name="Dodavka0" localSheetId="0">#REF!</definedName>
    <definedName name="Dodavka0">#REF!</definedName>
    <definedName name="dsfbhbg" localSheetId="1">#REF!</definedName>
    <definedName name="dsfbhbg" localSheetId="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 localSheetId="1">#REF!</definedName>
    <definedName name="f" localSheetId="0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a" localSheetId="1">'[4]F.1.4.5. ZZTI'!#REF!</definedName>
    <definedName name="ha" localSheetId="0">'[4]F.1.4.5. ZZTI'!#REF!</definedName>
    <definedName name="ha">'[4]F.1.4.5. ZZTI'!#REF!</definedName>
    <definedName name="Header_Row" localSheetId="1">ROW(#REF!)</definedName>
    <definedName name="Header_Row" localSheetId="0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 localSheetId="1">#REF!</definedName>
    <definedName name="hs" localSheetId="0">#REF!</definedName>
    <definedName name="hs">#REF!</definedName>
    <definedName name="HSV" localSheetId="1">#REF!</definedName>
    <definedName name="HSV" localSheetId="0">#REF!</definedName>
    <definedName name="HSV">#REF!</definedName>
    <definedName name="HSV0" localSheetId="1">#REF!</definedName>
    <definedName name="HSV0" localSheetId="0">#REF!</definedName>
    <definedName name="HSV0">#REF!</definedName>
    <definedName name="HZS" localSheetId="1">#REF!</definedName>
    <definedName name="HZS" localSheetId="0">#REF!</definedName>
    <definedName name="HZS">#REF!</definedName>
    <definedName name="HZS0" localSheetId="1">#REF!</definedName>
    <definedName name="HZS0" localSheetId="0">#REF!</definedName>
    <definedName name="HZS0">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 localSheetId="1">#REF!</definedName>
    <definedName name="JKSO" localSheetId="0">#REF!</definedName>
    <definedName name="JKSO">#REF!</definedName>
    <definedName name="jzzuggt" localSheetId="1">#REF!</definedName>
    <definedName name="jzzuggt" localSheetId="0">#REF!</definedName>
    <definedName name="jzzuggt">#REF!</definedName>
    <definedName name="Last_Row" localSheetId="1">IF('D.1.1. ASR'!Values_Entered,'D.1.1. ASR'!Header_Row+'D.1.1. ASR'!Number_of_Payments,'D.1.1. ASR'!Header_Row)</definedName>
    <definedName name="Last_Row" localSheetId="0">IF(Rekapitulace!Values_Entered,Rekapitulace!Header_Row+Rekapitulace!Number_of_Payments,Rekapitulace!Header_Row)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 localSheetId="1">#REF!</definedName>
    <definedName name="MJ" localSheetId="0">#REF!</definedName>
    <definedName name="MJ">#REF!</definedName>
    <definedName name="Mont" localSheetId="1">#REF!</definedName>
    <definedName name="Mont" localSheetId="0">#REF!</definedName>
    <definedName name="Mont">#REF!</definedName>
    <definedName name="Montaz0" localSheetId="1">#REF!</definedName>
    <definedName name="Montaz0" localSheetId="0">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 localSheetId="1">#REF!</definedName>
    <definedName name="NazevDilu" localSheetId="0">#REF!</definedName>
    <definedName name="NazevDilu">#REF!</definedName>
    <definedName name="nazevobjektu" localSheetId="1">#REF!</definedName>
    <definedName name="nazevobjektu" localSheetId="0">#REF!</definedName>
    <definedName name="nazevobjektu">#REF!</definedName>
    <definedName name="nazevstavby" localSheetId="1">#REF!</definedName>
    <definedName name="nazevstavby" localSheetId="0">#REF!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MATCH(0.01,'D.1.1. ASR'!End_Bal,-1)+1</definedName>
    <definedName name="Number_of_Payments" localSheetId="0">MATCH(0.01,Rekapitulace!End_Bal,-1)+1</definedName>
    <definedName name="Number_of_Payments">MATCH(0.01,End_Bal,-1)+1</definedName>
    <definedName name="obch_sleva" localSheetId="1">#REF!</definedName>
    <definedName name="obch_sleva" localSheetId="0">#REF!</definedName>
    <definedName name="obch_sleva">#REF!</definedName>
    <definedName name="Objednatel" localSheetId="1">#REF!</definedName>
    <definedName name="Objednatel" localSheetId="0">#REF!</definedName>
    <definedName name="Objednatel">#REF!</definedName>
    <definedName name="_xlnm.Print_Area" localSheetId="1">'D.1.1. ASR'!$A$1:$I$643</definedName>
    <definedName name="_xlnm.Print_Area" localSheetId="0">Rekapitulace!$A$1:$D$29</definedName>
    <definedName name="op" localSheetId="1">#REF!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DATE(YEAR('D.1.1. ASR'!Loan_Start),MONTH('D.1.1. ASR'!Loan_Start)+Payment_Number,DAY('D.1.1. ASR'!Loan_Start))</definedName>
    <definedName name="Payment_Date" localSheetId="0">DATE(YEAR(Rekapitulace!Loan_Start),MONTH(Rekapitulace!Loan_Start)+Payment_Number,DAY(Rekapitulace!Loan_Start))</definedName>
    <definedName name="Payment_Date">DATE(YEAR(Loan_Start),MONTH(Loan_Start)+Payment_Number,DAY(Loan_Start))</definedName>
    <definedName name="PocetMJ" localSheetId="1">#REF!</definedName>
    <definedName name="PocetMJ" localSheetId="0">#REF!</definedName>
    <definedName name="PocetMJ">#REF!</definedName>
    <definedName name="pokusAAAA" localSheetId="1">#REF!</definedName>
    <definedName name="pokusAAAA" localSheetId="0">#REF!</definedName>
    <definedName name="pokusAAAA">#REF!</definedName>
    <definedName name="pokusadres" localSheetId="1">#REF!</definedName>
    <definedName name="pokusadres" localSheetId="0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 localSheetId="1">#REF!</definedName>
    <definedName name="položky" localSheetId="0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1">#REF!</definedName>
    <definedName name="Poznamka" localSheetId="0">#REF!</definedName>
    <definedName name="Poznamka">#REF!</definedName>
    <definedName name="poznámka" localSheetId="1">#REF!</definedName>
    <definedName name="poznámka" localSheetId="0">#REF!</definedName>
    <definedName name="poznámka">#REF!</definedName>
    <definedName name="prep_schem" localSheetId="1">#REF!</definedName>
    <definedName name="prep_schem" localSheetId="0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_Reset" localSheetId="1">OFFSET('D.1.1. ASR'!Full_Print,0,0,'D.1.1. ASR'!Last_Row)</definedName>
    <definedName name="Print_Area_Reset" localSheetId="0">OFFSET(Rekapitulace!Full_Print,0,0,Rekapitulace!Last_Row)</definedName>
    <definedName name="Print_Area_Reset">OFFSET(Full_Print,0,0,Last_Row)</definedName>
    <definedName name="Projektant" localSheetId="1">#REF!</definedName>
    <definedName name="Projektant" localSheetId="0">#REF!</definedName>
    <definedName name="Projektant">#REF!</definedName>
    <definedName name="PSV" localSheetId="1">#REF!</definedName>
    <definedName name="PSV" localSheetId="0">#REF!</definedName>
    <definedName name="PSV">#REF!</definedName>
    <definedName name="PSV0" localSheetId="1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1">#REF!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1">#REF!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1">#REF!</definedName>
    <definedName name="SazbaDPH1" localSheetId="0">#REF!</definedName>
    <definedName name="SazbaDPH1">#REF!</definedName>
    <definedName name="SazbaDPH2" localSheetId="1">#REF!</definedName>
    <definedName name="SazbaDPH2" localSheetId="0">#REF!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 localSheetId="1">#REF!</definedName>
    <definedName name="SloupecCC" localSheetId="0">#REF!</definedName>
    <definedName name="SloupecCC">#REF!</definedName>
    <definedName name="SloupecCisloPol" localSheetId="1">#REF!</definedName>
    <definedName name="SloupecCisloPol" localSheetId="0">#REF!</definedName>
    <definedName name="SloupecCisloPol">#REF!</definedName>
    <definedName name="SloupecJC" localSheetId="1">#REF!</definedName>
    <definedName name="SloupecJC" localSheetId="0">#REF!</definedName>
    <definedName name="SloupecJC">#REF!</definedName>
    <definedName name="SloupecMJ" localSheetId="1">#REF!</definedName>
    <definedName name="SloupecMJ" localSheetId="0">#REF!</definedName>
    <definedName name="SloupecMJ">#REF!</definedName>
    <definedName name="SloupecMnozstvi" localSheetId="1">#REF!</definedName>
    <definedName name="SloupecMnozstvi" localSheetId="0">#REF!</definedName>
    <definedName name="SloupecMnozstvi">#REF!</definedName>
    <definedName name="SloupecNazPol" localSheetId="1">#REF!</definedName>
    <definedName name="SloupecNazPol" localSheetId="0">#REF!</definedName>
    <definedName name="SloupecNazPol">#REF!</definedName>
    <definedName name="SloupecPC" localSheetId="1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1">#REF!</definedName>
    <definedName name="ssss" localSheetId="0">#REF!</definedName>
    <definedName name="ssss">#REF!</definedName>
    <definedName name="subslevy" localSheetId="1">#REF!</definedName>
    <definedName name="subslevy" localSheetId="0">#REF!</definedName>
    <definedName name="subslevy">#REF!</definedName>
    <definedName name="sum_kapitoly" localSheetId="1">'[3]Rekapitulace roz.  vč. kapitol'!#REF!</definedName>
    <definedName name="sum_kapitoly">'[3]Rekapitulace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IF('D.1.1. ASR'!Loan_Amount*'D.1.1. ASR'!Interest_Rate*'D.1.1. ASR'!Loan_Years*'D.1.1. ASR'!Loan_Start&gt;0,1,0)</definedName>
    <definedName name="Values_Entered" localSheetId="0">IF(Rekapitulace!Loan_Amount*Rekapitulace!Interest_Rate*Rekapitulace!Loan_Years*Rekapitulace!Loan_Start&gt;0,1,0)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1">#REF!</definedName>
    <definedName name="VRN" localSheetId="0">#REF!</definedName>
    <definedName name="VRN">#REF!</definedName>
    <definedName name="VRNKc" localSheetId="1">#REF!</definedName>
    <definedName name="VRNKc" localSheetId="0">#REF!</definedName>
    <definedName name="VRNKc">#REF!</definedName>
    <definedName name="VRNnazev" localSheetId="1">#REF!</definedName>
    <definedName name="VRNnazev" localSheetId="0">#REF!</definedName>
    <definedName name="VRNnazev">#REF!</definedName>
    <definedName name="VRNproc" localSheetId="1">#REF!</definedName>
    <definedName name="VRNproc" localSheetId="0">#REF!</definedName>
    <definedName name="VRNproc">#REF!</definedName>
    <definedName name="VRNzakl" localSheetId="1">#REF!</definedName>
    <definedName name="VRNzakl" localSheetId="0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1">#REF!</definedName>
    <definedName name="zahrnsazby" localSheetId="0">#REF!</definedName>
    <definedName name="zahrnsazby">#REF!</definedName>
    <definedName name="zahrnslevy" localSheetId="1">#REF!</definedName>
    <definedName name="zahrnslevy" localSheetId="0">#REF!</definedName>
    <definedName name="zahrnslevy">#REF!</definedName>
    <definedName name="Zakazka" localSheetId="1">#REF!</definedName>
    <definedName name="Zakazka" localSheetId="0">#REF!</definedName>
    <definedName name="Zakazka">#REF!</definedName>
    <definedName name="Zaklad22" localSheetId="1">#REF!</definedName>
    <definedName name="Zaklad22" localSheetId="0">#REF!</definedName>
    <definedName name="Zaklad22">#REF!</definedName>
    <definedName name="Zaklad5" localSheetId="1">#REF!</definedName>
    <definedName name="Zaklad5" localSheetId="0">#REF!</definedName>
    <definedName name="Zaklad5">#REF!</definedName>
    <definedName name="Zhotovitel" localSheetId="1">#REF!</definedName>
    <definedName name="Zhotovitel" localSheetId="0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H368" i="17"/>
  <c r="F359" l="1"/>
  <c r="F356"/>
  <c r="F358"/>
  <c r="F355"/>
  <c r="H298"/>
  <c r="H395"/>
  <c r="F311" l="1"/>
  <c r="F307"/>
  <c r="F306"/>
  <c r="F310"/>
  <c r="F586"/>
  <c r="F301"/>
  <c r="F300" s="1"/>
  <c r="H300" s="1"/>
  <c r="F304"/>
  <c r="F302" s="1"/>
  <c r="H302" s="1"/>
  <c r="F305" l="1"/>
  <c r="H305" s="1"/>
  <c r="F308"/>
  <c r="H308" s="1"/>
  <c r="F573"/>
  <c r="F571" l="1"/>
  <c r="F583"/>
  <c r="F532"/>
  <c r="F531"/>
  <c r="F562"/>
  <c r="F153"/>
  <c r="F386"/>
  <c r="F385"/>
  <c r="F384"/>
  <c r="F383"/>
  <c r="F382"/>
  <c r="F381"/>
  <c r="F372"/>
  <c r="F374" s="1"/>
  <c r="F376" s="1"/>
  <c r="H376" s="1"/>
  <c r="H393"/>
  <c r="F148"/>
  <c r="F147" s="1"/>
  <c r="H147" s="1"/>
  <c r="F146"/>
  <c r="F145" s="1"/>
  <c r="H145" s="1"/>
  <c r="F144"/>
  <c r="F143" s="1"/>
  <c r="H143" s="1"/>
  <c r="F142"/>
  <c r="F141"/>
  <c r="F140"/>
  <c r="F139"/>
  <c r="F138"/>
  <c r="F137"/>
  <c r="F136"/>
  <c r="F135"/>
  <c r="F134"/>
  <c r="F133"/>
  <c r="F132"/>
  <c r="F131"/>
  <c r="F129"/>
  <c r="F128" s="1"/>
  <c r="H128" s="1"/>
  <c r="F127"/>
  <c r="F126"/>
  <c r="F124"/>
  <c r="F123" s="1"/>
  <c r="H123" s="1"/>
  <c r="F122"/>
  <c r="F121" s="1"/>
  <c r="H121" s="1"/>
  <c r="F120"/>
  <c r="F119" s="1"/>
  <c r="H119" s="1"/>
  <c r="F117"/>
  <c r="F115" s="1"/>
  <c r="H115" s="1"/>
  <c r="F113"/>
  <c r="F111" s="1"/>
  <c r="H111" s="1"/>
  <c r="F109"/>
  <c r="F107" s="1"/>
  <c r="H107" s="1"/>
  <c r="F105"/>
  <c r="F104"/>
  <c r="F100"/>
  <c r="F99"/>
  <c r="F95"/>
  <c r="F94"/>
  <c r="F90"/>
  <c r="F88" s="1"/>
  <c r="H88" s="1"/>
  <c r="F86"/>
  <c r="F84" s="1"/>
  <c r="H84" s="1"/>
  <c r="F82"/>
  <c r="F80" s="1"/>
  <c r="H80" s="1"/>
  <c r="F78"/>
  <c r="F76" s="1"/>
  <c r="H76" s="1"/>
  <c r="F74"/>
  <c r="F72" s="1"/>
  <c r="H72" s="1"/>
  <c r="F70"/>
  <c r="F68" s="1"/>
  <c r="H68" s="1"/>
  <c r="F66"/>
  <c r="F64" s="1"/>
  <c r="H64" s="1"/>
  <c r="F62"/>
  <c r="F60" s="1"/>
  <c r="H60" s="1"/>
  <c r="F58"/>
  <c r="F56" s="1"/>
  <c r="H56" s="1"/>
  <c r="F289"/>
  <c r="F288" s="1"/>
  <c r="H288" s="1"/>
  <c r="H508"/>
  <c r="H507"/>
  <c r="F533"/>
  <c r="F296"/>
  <c r="F334"/>
  <c r="F332" s="1"/>
  <c r="H332" s="1"/>
  <c r="F331"/>
  <c r="F330"/>
  <c r="F325"/>
  <c r="F327"/>
  <c r="F326"/>
  <c r="F125" l="1"/>
  <c r="H125" s="1"/>
  <c r="F97"/>
  <c r="H97" s="1"/>
  <c r="F130"/>
  <c r="H130" s="1"/>
  <c r="F92"/>
  <c r="H92" s="1"/>
  <c r="F102"/>
  <c r="H102" s="1"/>
  <c r="F375"/>
  <c r="H375" s="1"/>
  <c r="F377"/>
  <c r="H377" s="1"/>
  <c r="H374"/>
  <c r="F328"/>
  <c r="F584"/>
  <c r="F585"/>
  <c r="F367"/>
  <c r="F366" s="1"/>
  <c r="F361"/>
  <c r="F313"/>
  <c r="F525"/>
  <c r="F527"/>
  <c r="F543"/>
  <c r="F606"/>
  <c r="H606" s="1"/>
  <c r="H605"/>
  <c r="H604"/>
  <c r="H603"/>
  <c r="H602"/>
  <c r="H505"/>
  <c r="H504"/>
  <c r="F506"/>
  <c r="F502" s="1"/>
  <c r="F411"/>
  <c r="F319"/>
  <c r="F150"/>
  <c r="F318"/>
  <c r="F410"/>
  <c r="F458"/>
  <c r="F409"/>
  <c r="F408"/>
  <c r="F407"/>
  <c r="F582" l="1"/>
  <c r="G372"/>
  <c r="H372" s="1"/>
  <c r="H601"/>
  <c r="C26" i="13" s="1"/>
  <c r="G502" i="17"/>
  <c r="H502" s="1"/>
  <c r="F417"/>
  <c r="F412" s="1"/>
  <c r="H416"/>
  <c r="H415"/>
  <c r="H414"/>
  <c r="G412" l="1"/>
  <c r="H412" s="1"/>
  <c r="F488" l="1"/>
  <c r="F479"/>
  <c r="F474"/>
  <c r="F473"/>
  <c r="F466"/>
  <c r="F461" s="1"/>
  <c r="H485"/>
  <c r="H484"/>
  <c r="H483"/>
  <c r="H482"/>
  <c r="F480" l="1"/>
  <c r="G480" s="1"/>
  <c r="H478"/>
  <c r="H477"/>
  <c r="F475"/>
  <c r="H465"/>
  <c r="H464"/>
  <c r="H463"/>
  <c r="H472"/>
  <c r="H471"/>
  <c r="F469" l="1"/>
  <c r="G469" s="1"/>
  <c r="H469" s="1"/>
  <c r="H480"/>
  <c r="G475"/>
  <c r="H475" s="1"/>
  <c r="G461"/>
  <c r="H461" s="1"/>
  <c r="H366"/>
  <c r="F282"/>
  <c r="F281"/>
  <c r="F275"/>
  <c r="F274"/>
  <c r="F247"/>
  <c r="F246"/>
  <c r="F227"/>
  <c r="F210"/>
  <c r="F209"/>
  <c r="F192"/>
  <c r="F181"/>
  <c r="F182"/>
  <c r="F179"/>
  <c r="F178" s="1"/>
  <c r="H178" s="1"/>
  <c r="F273" l="1"/>
  <c r="F180"/>
  <c r="F208"/>
  <c r="F245"/>
  <c r="F280"/>
  <c r="F15"/>
  <c r="F242" l="1"/>
  <c r="F241"/>
  <c r="F225"/>
  <c r="H225" s="1"/>
  <c r="F171"/>
  <c r="F165" l="1"/>
  <c r="F170"/>
  <c r="H170" s="1"/>
  <c r="H361"/>
  <c r="F493"/>
  <c r="F321"/>
  <c r="F316"/>
  <c r="F441"/>
  <c r="F626"/>
  <c r="H626" s="1"/>
  <c r="F620"/>
  <c r="F611"/>
  <c r="F324"/>
  <c r="F323" s="1"/>
  <c r="H297"/>
  <c r="H498"/>
  <c r="H499"/>
  <c r="F500"/>
  <c r="H497"/>
  <c r="F632" l="1"/>
  <c r="H632" s="1"/>
  <c r="H620"/>
  <c r="H611"/>
  <c r="F510"/>
  <c r="H510" s="1"/>
  <c r="H509"/>
  <c r="F495"/>
  <c r="G495" s="1"/>
  <c r="F489"/>
  <c r="H492"/>
  <c r="H491"/>
  <c r="H457"/>
  <c r="H456"/>
  <c r="H455"/>
  <c r="F596"/>
  <c r="H610" l="1"/>
  <c r="F453"/>
  <c r="G453" s="1"/>
  <c r="H453" s="1"/>
  <c r="G489"/>
  <c r="H489" s="1"/>
  <c r="H495"/>
  <c r="H323"/>
  <c r="H328"/>
  <c r="F405"/>
  <c r="F286"/>
  <c r="F406"/>
  <c r="F317"/>
  <c r="F315" s="1"/>
  <c r="H452" l="1"/>
  <c r="C20" i="13" s="1"/>
  <c r="H609" i="17"/>
  <c r="C28" i="13"/>
  <c r="C27" s="1"/>
  <c r="F400" i="17"/>
  <c r="F291"/>
  <c r="F290" s="1"/>
  <c r="F152"/>
  <c r="F279"/>
  <c r="F285"/>
  <c r="F278"/>
  <c r="F223"/>
  <c r="F221" s="1"/>
  <c r="F200"/>
  <c r="F205"/>
  <c r="F261"/>
  <c r="F253"/>
  <c r="F163"/>
  <c r="F160"/>
  <c r="F159"/>
  <c r="F155"/>
  <c r="F156"/>
  <c r="F151"/>
  <c r="F360"/>
  <c r="F50"/>
  <c r="F48"/>
  <c r="F295"/>
  <c r="H295" s="1"/>
  <c r="F284"/>
  <c r="H280"/>
  <c r="F277"/>
  <c r="F350"/>
  <c r="F345"/>
  <c r="F343"/>
  <c r="F339"/>
  <c r="F337"/>
  <c r="F598"/>
  <c r="H598" s="1"/>
  <c r="H597"/>
  <c r="F595"/>
  <c r="H595" s="1"/>
  <c r="F594"/>
  <c r="F593"/>
  <c r="F588"/>
  <c r="H588" s="1"/>
  <c r="F550"/>
  <c r="H550" s="1"/>
  <c r="H549"/>
  <c r="F544"/>
  <c r="H544" s="1"/>
  <c r="F541"/>
  <c r="H541" s="1"/>
  <c r="F420"/>
  <c r="H420" s="1"/>
  <c r="H419"/>
  <c r="H403"/>
  <c r="H402"/>
  <c r="F149" l="1"/>
  <c r="F592"/>
  <c r="H592" s="1"/>
  <c r="H591" s="1"/>
  <c r="C25" i="13" s="1"/>
  <c r="F283" i="17"/>
  <c r="F287" s="1"/>
  <c r="H287" s="1"/>
  <c r="F276"/>
  <c r="H276" s="1"/>
  <c r="G400"/>
  <c r="H400" s="1"/>
  <c r="H399" s="1"/>
  <c r="C18" i="13" s="1"/>
  <c r="H315" i="17"/>
  <c r="F224"/>
  <c r="H224" s="1"/>
  <c r="H221"/>
  <c r="H290"/>
  <c r="F293"/>
  <c r="H293" s="1"/>
  <c r="H540"/>
  <c r="C22" i="13" s="1"/>
  <c r="H582" i="17"/>
  <c r="F581"/>
  <c r="H581" s="1"/>
  <c r="F449"/>
  <c r="H449" s="1"/>
  <c r="H448"/>
  <c r="F446"/>
  <c r="F443" s="1"/>
  <c r="H445"/>
  <c r="H444"/>
  <c r="F442"/>
  <c r="H438"/>
  <c r="H437"/>
  <c r="F434"/>
  <c r="F424" s="1"/>
  <c r="H432"/>
  <c r="H431"/>
  <c r="H430"/>
  <c r="H429"/>
  <c r="H427"/>
  <c r="H426"/>
  <c r="F530"/>
  <c r="F572"/>
  <c r="H572" s="1"/>
  <c r="F563"/>
  <c r="F554"/>
  <c r="H568"/>
  <c r="H567"/>
  <c r="H566"/>
  <c r="H565"/>
  <c r="H559"/>
  <c r="F577"/>
  <c r="H577" s="1"/>
  <c r="H576"/>
  <c r="H558"/>
  <c r="H557"/>
  <c r="H556"/>
  <c r="F380"/>
  <c r="F537"/>
  <c r="H537" s="1"/>
  <c r="H536"/>
  <c r="F524"/>
  <c r="H524" s="1"/>
  <c r="F523"/>
  <c r="F522"/>
  <c r="F519"/>
  <c r="F516" s="1"/>
  <c r="H516" s="1"/>
  <c r="F514"/>
  <c r="H514" s="1"/>
  <c r="F396"/>
  <c r="H396" s="1"/>
  <c r="H394"/>
  <c r="F349"/>
  <c r="H349" s="1"/>
  <c r="F348"/>
  <c r="F347" s="1"/>
  <c r="H347" s="1"/>
  <c r="F344"/>
  <c r="H344" s="1"/>
  <c r="F342"/>
  <c r="H342" s="1"/>
  <c r="F338"/>
  <c r="H338" s="1"/>
  <c r="F335"/>
  <c r="F320"/>
  <c r="H320" s="1"/>
  <c r="F312"/>
  <c r="H312" s="1"/>
  <c r="F226"/>
  <c r="H226" s="1"/>
  <c r="H245"/>
  <c r="H273"/>
  <c r="F265"/>
  <c r="F257"/>
  <c r="F238"/>
  <c r="F237"/>
  <c r="F268"/>
  <c r="F269"/>
  <c r="F262"/>
  <c r="F254"/>
  <c r="F232"/>
  <c r="F236"/>
  <c r="F235"/>
  <c r="F260"/>
  <c r="F259"/>
  <c r="F252"/>
  <c r="F231"/>
  <c r="F230"/>
  <c r="F196"/>
  <c r="F195"/>
  <c r="F249"/>
  <c r="F270"/>
  <c r="F267"/>
  <c r="F266"/>
  <c r="F258"/>
  <c r="F251"/>
  <c r="F250"/>
  <c r="H208"/>
  <c r="F204"/>
  <c r="F203"/>
  <c r="F199"/>
  <c r="F198"/>
  <c r="F213"/>
  <c r="F219"/>
  <c r="F218"/>
  <c r="F214"/>
  <c r="F212"/>
  <c r="F176"/>
  <c r="F175"/>
  <c r="F174"/>
  <c r="F173"/>
  <c r="F168"/>
  <c r="F167"/>
  <c r="F166"/>
  <c r="F189"/>
  <c r="F188"/>
  <c r="F185"/>
  <c r="F184"/>
  <c r="F55"/>
  <c r="F54" s="1"/>
  <c r="H54" s="1"/>
  <c r="F52"/>
  <c r="F51" s="1"/>
  <c r="H51" s="1"/>
  <c r="F45"/>
  <c r="F46"/>
  <c r="F43"/>
  <c r="F42" s="1"/>
  <c r="H42" s="1"/>
  <c r="F35"/>
  <c r="F34" s="1"/>
  <c r="H34" s="1"/>
  <c r="F41"/>
  <c r="F40"/>
  <c r="F33"/>
  <c r="F32"/>
  <c r="F38"/>
  <c r="F30"/>
  <c r="F27"/>
  <c r="F26" s="1"/>
  <c r="H26" s="1"/>
  <c r="F21"/>
  <c r="F20" s="1"/>
  <c r="H20" s="1"/>
  <c r="F24"/>
  <c r="F25"/>
  <c r="F19"/>
  <c r="F18"/>
  <c r="F191"/>
  <c r="H191" s="1"/>
  <c r="H180"/>
  <c r="F162"/>
  <c r="H162" s="1"/>
  <c r="F49"/>
  <c r="H49" s="1"/>
  <c r="F47"/>
  <c r="H47" s="1"/>
  <c r="F14"/>
  <c r="H14" s="1"/>
  <c r="H13"/>
  <c r="H12"/>
  <c r="H11"/>
  <c r="H10"/>
  <c r="H299" l="1"/>
  <c r="C14" i="13" s="1"/>
  <c r="F378" i="17"/>
  <c r="F390" s="1"/>
  <c r="H390" s="1"/>
  <c r="H392"/>
  <c r="C16" i="13" s="1"/>
  <c r="F574" i="17"/>
  <c r="F16"/>
  <c r="H16" s="1"/>
  <c r="F535"/>
  <c r="F534" s="1"/>
  <c r="H534" s="1"/>
  <c r="F240"/>
  <c r="H240" s="1"/>
  <c r="H283"/>
  <c r="H149"/>
  <c r="F211"/>
  <c r="H211" s="1"/>
  <c r="F435"/>
  <c r="G435" s="1"/>
  <c r="H435" s="1"/>
  <c r="F520"/>
  <c r="H520" s="1"/>
  <c r="H580"/>
  <c r="C24" i="13" s="1"/>
  <c r="F194" i="17"/>
  <c r="H194" s="1"/>
  <c r="F357"/>
  <c r="H357" s="1"/>
  <c r="F248"/>
  <c r="H248" s="1"/>
  <c r="F216"/>
  <c r="H216" s="1"/>
  <c r="G443"/>
  <c r="H443" s="1"/>
  <c r="F352"/>
  <c r="H352" s="1"/>
  <c r="G424"/>
  <c r="H424" s="1"/>
  <c r="G563"/>
  <c r="H563" s="1"/>
  <c r="G554"/>
  <c r="H554" s="1"/>
  <c r="F197"/>
  <c r="H197" s="1"/>
  <c r="F264"/>
  <c r="H264" s="1"/>
  <c r="F202"/>
  <c r="F526"/>
  <c r="H526" s="1"/>
  <c r="F341"/>
  <c r="F340" s="1"/>
  <c r="H340" s="1"/>
  <c r="H335"/>
  <c r="F346"/>
  <c r="H346" s="1"/>
  <c r="F351"/>
  <c r="H351" s="1"/>
  <c r="F234"/>
  <c r="F256"/>
  <c r="F229"/>
  <c r="H229" s="1"/>
  <c r="F36"/>
  <c r="H36" s="1"/>
  <c r="F28"/>
  <c r="H28" s="1"/>
  <c r="F172"/>
  <c r="H172" s="1"/>
  <c r="F164"/>
  <c r="H164" s="1"/>
  <c r="F44"/>
  <c r="H44" s="1"/>
  <c r="F22"/>
  <c r="H22" s="1"/>
  <c r="F187"/>
  <c r="F190" s="1"/>
  <c r="H190" s="1"/>
  <c r="F154"/>
  <c r="H154" s="1"/>
  <c r="F183"/>
  <c r="H183" s="1"/>
  <c r="F158"/>
  <c r="F387" l="1"/>
  <c r="H387" s="1"/>
  <c r="F389"/>
  <c r="H389" s="1"/>
  <c r="F391"/>
  <c r="H391" s="1"/>
  <c r="F388"/>
  <c r="H388" s="1"/>
  <c r="F239"/>
  <c r="H239" s="1"/>
  <c r="F244"/>
  <c r="H244" s="1"/>
  <c r="H256"/>
  <c r="F272"/>
  <c r="H272" s="1"/>
  <c r="F243"/>
  <c r="H243" s="1"/>
  <c r="H202"/>
  <c r="F207"/>
  <c r="H207" s="1"/>
  <c r="H530"/>
  <c r="F271"/>
  <c r="H271" s="1"/>
  <c r="F220"/>
  <c r="H220" s="1"/>
  <c r="F161"/>
  <c r="H161" s="1"/>
  <c r="F529"/>
  <c r="H529" s="1"/>
  <c r="H423"/>
  <c r="C19" i="13" s="1"/>
  <c r="F206" i="17"/>
  <c r="H206" s="1"/>
  <c r="H574"/>
  <c r="F575"/>
  <c r="H575" s="1"/>
  <c r="H234"/>
  <c r="F263"/>
  <c r="H263" s="1"/>
  <c r="H158"/>
  <c r="H187"/>
  <c r="F177"/>
  <c r="H177" s="1"/>
  <c r="H9"/>
  <c r="C10" i="13" s="1"/>
  <c r="H228" i="17" l="1"/>
  <c r="C13" i="13" s="1"/>
  <c r="G378" i="17"/>
  <c r="H378" s="1"/>
  <c r="H322" s="1"/>
  <c r="C15" i="13" s="1"/>
  <c r="H553" i="17"/>
  <c r="C23" i="13" s="1"/>
  <c r="H193" i="17"/>
  <c r="C12" i="13" s="1"/>
  <c r="H53" i="17"/>
  <c r="C11" i="13" s="1"/>
  <c r="H513" i="17"/>
  <c r="C21" i="13" s="1"/>
  <c r="H398" i="17" l="1"/>
  <c r="H8"/>
  <c r="H635" l="1"/>
  <c r="H637" s="1"/>
  <c r="C17" i="13" l="1"/>
  <c r="C9" l="1"/>
  <c r="C29" s="1"/>
</calcChain>
</file>

<file path=xl/sharedStrings.xml><?xml version="1.0" encoding="utf-8"?>
<sst xmlns="http://schemas.openxmlformats.org/spreadsheetml/2006/main" count="1397" uniqueCount="769">
  <si>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</si>
  <si>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</si>
  <si>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</si>
  <si>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</si>
  <si>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</si>
  <si>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</si>
  <si>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</si>
  <si>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</si>
  <si>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</si>
  <si>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</si>
  <si>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</si>
  <si>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</si>
  <si>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</si>
  <si>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</si>
  <si>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</si>
  <si>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</si>
  <si>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</si>
  <si>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</si>
  <si>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Celkem</t>
  </si>
  <si>
    <t>CELKEM</t>
  </si>
  <si>
    <t>Poznámka:</t>
  </si>
  <si>
    <t>m2</t>
  </si>
  <si>
    <t>99</t>
  </si>
  <si>
    <t>Přesun hmot</t>
  </si>
  <si>
    <t>Jednotkové položky zahrnují vedlejší rozpočtové náklady, náklady na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</si>
  <si>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</si>
  <si>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</si>
  <si>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m3</t>
  </si>
  <si>
    <t>hod</t>
  </si>
  <si>
    <t>" Stavební práce a dodávky spojené s provedením funkčního celku HSV - výpomoce, doplňkové práce a dodávky,kompletace apod. "</t>
  </si>
  <si>
    <t>HZS1292</t>
  </si>
  <si>
    <t>Hodinová zúčtovací sazba stavební dělník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</si>
  <si>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</si>
  <si>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Zakládání</t>
  </si>
  <si>
    <t>Zhutnění podloží z hornin soudržných do 92% PS nebo nesoudržných sypkých I(d) do 0,8</t>
  </si>
  <si>
    <t>t</t>
  </si>
  <si>
    <t>Vodorovné konstrukce</t>
  </si>
  <si>
    <t>Zřízení bednění stěn základových desek</t>
  </si>
  <si>
    <t>Odstranění bednění stěn základových desek</t>
  </si>
  <si>
    <t>Zásyp jam, šachet rýh nebo kolem objektů sypaninou se zhutněním</t>
  </si>
  <si>
    <t>Zemní práce</t>
  </si>
  <si>
    <t>PSV</t>
  </si>
  <si>
    <t>Práce a dodávky PSV</t>
  </si>
  <si>
    <t>711</t>
  </si>
  <si>
    <t>Izolace proti vodě, vlhkosti a plynům</t>
  </si>
  <si>
    <t>711999101 SPC</t>
  </si>
  <si>
    <t>" V ceně kotvící a spojovací prvky, zesílení hydroizolace v rozích a koutech, systémové řešení prostupů, utěsnění protupů krystalizačním nátěrem, bentonitovým granulátem a bentonitovým tmelem. "</t>
  </si>
  <si>
    <t>%</t>
  </si>
  <si>
    <t>HZS2161</t>
  </si>
  <si>
    <t>Hodinová zúčtovací sazba izolatér</t>
  </si>
  <si>
    <t xml:space="preserve">" Zednická výpomoc, doplňkové práce,kompletace apod." </t>
  </si>
  <si>
    <t>Izolace tepelné</t>
  </si>
  <si>
    <t>713999101 SPC</t>
  </si>
  <si>
    <t>" Skladba : "</t>
  </si>
  <si>
    <t>Přesun hmot procentní pro izolace proti vodě, vlhkosti a plynům v objektech v do 12 m</t>
  </si>
  <si>
    <t>713</t>
  </si>
  <si>
    <t xml:space="preserve">"Stavební práce a dodávky spojené s provedením funkčního celku 713." </t>
  </si>
  <si>
    <t>Přesun hmot procentní pro izolace tepelné v objektech v do 12 m</t>
  </si>
  <si>
    <t>713999102 SPC</t>
  </si>
  <si>
    <t>Svislé a kompletní konstrukce</t>
  </si>
  <si>
    <t>kus</t>
  </si>
  <si>
    <t>sada</t>
  </si>
  <si>
    <t xml:space="preserve">" Venkovní lešení včetně ochranného zábradlí, podlahových zarážek, závětrování, zakrývání otvorů, prvků a konstrukcí proti znečištění a poškození." </t>
  </si>
  <si>
    <t>" Součástí ceny demontáže je zapravení otvorů po lešenářských kotvách systémovými ucpávkami a jejich povrchová úprava. "</t>
  </si>
  <si>
    <t>Montáž ochranné sítě z textilie z umělých vláken</t>
  </si>
  <si>
    <t>Demontáž ochranné sítě z textilie z umělých vláken</t>
  </si>
  <si>
    <t>Montáž záchytné stříšky š přes 2,5 m</t>
  </si>
  <si>
    <t>m</t>
  </si>
  <si>
    <t>Demontáž záchytné stříšky š přes 2,5 m</t>
  </si>
  <si>
    <t xml:space="preserve">" Intérierové lešení včetně ochranného zábradlí, podlahových zarážek, závětrování apod. " </t>
  </si>
  <si>
    <t>" V ceně náklady na dopravu, montáž, opotřebení, doby pronájmu lešení a demontáž lešení "</t>
  </si>
  <si>
    <t>Vyčištění budov bytové a občanské výstavby při výšce podlaží do 4 m</t>
  </si>
  <si>
    <t>9</t>
  </si>
  <si>
    <t>Ostatní konstrukce a práce-bourání</t>
  </si>
  <si>
    <t>Příplatek k ochranné síti za první a ZKD den použití</t>
  </si>
  <si>
    <t>Příplatek k záchytné stříšce š přes 2,5 m za první a ZKD den použití</t>
  </si>
  <si>
    <t>HZS2331</t>
  </si>
  <si>
    <t>Hodinová zúčtovací sazba podlahář</t>
  </si>
  <si>
    <t xml:space="preserve">" Zednická výpomoc,doplňkové práce,kompletace,zřízení prostupů,zapravení prostupů, apod." </t>
  </si>
  <si>
    <t>" Skladba podlahy : "</t>
  </si>
  <si>
    <t>Podlahy z dlaždic</t>
  </si>
  <si>
    <t>77199901 SPC</t>
  </si>
  <si>
    <t>" Cena zahrnuje flexibilní lepidlo, spárovací hmotu a pružný tmel pro dilatace. "</t>
  </si>
  <si>
    <t xml:space="preserve">D+M Příprava podkladu před pokládkou dlažby - Specifikace dle PD                                             </t>
  </si>
  <si>
    <t>Příplatek k montáž podlah keramických za spárování tmelem dvousložkovým</t>
  </si>
  <si>
    <t>Podlahy penetrace podkladu</t>
  </si>
  <si>
    <t>Přesun hmot procentní pro podlahy z dlaždic v objektech v do 12 m</t>
  </si>
  <si>
    <t>713999103 SPC</t>
  </si>
  <si>
    <t>713999104 SPC</t>
  </si>
  <si>
    <t>713999105 SPC</t>
  </si>
  <si>
    <t>Montované konstrukce – dřevostavby, sádrokartony</t>
  </si>
  <si>
    <t>763</t>
  </si>
  <si>
    <t>Přesun hmot procentní pro sádrokartonové konstrukce v objektech v do 12 m</t>
  </si>
  <si>
    <t>SDK příčka základní penetrační nátěr</t>
  </si>
  <si>
    <t>HZS2311</t>
  </si>
  <si>
    <t>Hodinová zúčtovací sazba malíř, natěrač, lakýrník</t>
  </si>
  <si>
    <t>SDK stěna předsazená základní penetrační nátěr</t>
  </si>
  <si>
    <t>Úpravy povrchu, podlahy, osazení</t>
  </si>
  <si>
    <t>011</t>
  </si>
  <si>
    <t>REKAPITULACE</t>
  </si>
  <si>
    <t>Kód</t>
  </si>
  <si>
    <t xml:space="preserve">Cena celkem                       </t>
  </si>
  <si>
    <t>Konstrukce suché výstavby</t>
  </si>
  <si>
    <t>Malby</t>
  </si>
  <si>
    <t>Ostatní práce a dodávky</t>
  </si>
  <si>
    <t>790</t>
  </si>
  <si>
    <t>998790201 RTO</t>
  </si>
  <si>
    <t>HZS2492</t>
  </si>
  <si>
    <t>Hodinová zúčtovací sazba pomocný dělník PSV</t>
  </si>
  <si>
    <t>HZS2171</t>
  </si>
  <si>
    <t>Hodinová zúčtovací sazba sádrokartonář</t>
  </si>
  <si>
    <t xml:space="preserve">"Stavební práce a dodávky spojené s provedením funkčního celku 763." </t>
  </si>
  <si>
    <t>HZS2141</t>
  </si>
  <si>
    <t>Hodinová zúčtovací sazba pokrývač</t>
  </si>
  <si>
    <t>43-M</t>
  </si>
  <si>
    <t xml:space="preserve">Montáže ocelových konstrukcí </t>
  </si>
  <si>
    <t>M</t>
  </si>
  <si>
    <t>Práce a dodávky M</t>
  </si>
  <si>
    <t>D+M Ocelových konstrukcí včetně nátěru a povchové úpravy - Specifikace dle PD</t>
  </si>
  <si>
    <t>kg</t>
  </si>
  <si>
    <t>" Cena obsahuje také kotvení ocelových konstrukcí pomocí navrtání, kotev, ocelových kotevních desek, patních a roznášecích plechů a chemického zakotvení."</t>
  </si>
  <si>
    <t>" Ocelová konstrukce výrobní skupiny EXC2 dle ČSN EN 1090, nosné ocelové prvky dle ČSN EN 10025+A1 z oceli S235. "</t>
  </si>
  <si>
    <t>" Cena včetně opravy nátěru po montážních svarech, veškerý spojovací materiál z pozinkované oceli nebo opatřen antikorózní úpravou "</t>
  </si>
  <si>
    <t>HZS3121</t>
  </si>
  <si>
    <t>Hodinová zúčtovací sazba montér ocelových konstrukcí</t>
  </si>
  <si>
    <t xml:space="preserve">"Stavební práce a dodávky spojené s provedením funkčního celku M-43." </t>
  </si>
  <si>
    <t>943</t>
  </si>
  <si>
    <t>43099901 SPC</t>
  </si>
  <si>
    <t>štěrkopísek frakce 0-32</t>
  </si>
  <si>
    <t>D.1.1. ASŘ - CELKEM</t>
  </si>
  <si>
    <t>D+M Bezpečnostní a výstražné zařízení, bezpečnostní a ochranné prvky - Specifikace dle PD</t>
  </si>
  <si>
    <t>Přesun hmot pro budovy monolitické v do 12 m</t>
  </si>
  <si>
    <t>Přesun hmot procentní pro ostatní výrobky v objektech v do 12 m</t>
  </si>
  <si>
    <t>771999101 SPC</t>
  </si>
  <si>
    <t>771999102 SPC</t>
  </si>
  <si>
    <t>Povlakové krytiny</t>
  </si>
  <si>
    <t>712</t>
  </si>
  <si>
    <t>Přesun hmot procentní pro krytiny povlakové v objektech v do 12 m</t>
  </si>
  <si>
    <t>HZS</t>
  </si>
  <si>
    <t>" Stavební práce a dodávky spojené s provedením funkčního celku 712 "</t>
  </si>
  <si>
    <t>" Zednická výpomoc,doplňkové práce,kompletace, zřízení a zapravení prostupů apod."</t>
  </si>
  <si>
    <t>" Cena skladby včetně ztratného, zesílení izolace při řešení detailů v rozích a u prostupů, lemování filtrační rohoží, zesílení tepelné izolace v místě vpusti, kotvící a spojovací prvky jednotlivých vrstev. "</t>
  </si>
  <si>
    <t>978</t>
  </si>
  <si>
    <t>" Vodorovné / svislé staveništní přemístění suti "</t>
  </si>
  <si>
    <t>" Naložení suti "</t>
  </si>
  <si>
    <t>" Odvoz suti "</t>
  </si>
  <si>
    <t>" Poplatek za uložení suti "</t>
  </si>
  <si>
    <t>" Naložení zeminy "</t>
  </si>
  <si>
    <t>" Odvoz zeminy "</t>
  </si>
  <si>
    <t>" Rozprostření zeminy v místě dovozu "</t>
  </si>
  <si>
    <t>" Hrubé terréní úpravy  na místě dovoz "</t>
  </si>
  <si>
    <t>" Poplatek za uložení sypaniny "</t>
  </si>
  <si>
    <t>D+M Hydroizolace z fólie PEHD - Specifikace dle PD</t>
  </si>
  <si>
    <t>" - Hydroizolace z polyethylénové fólie (PEHD) s bentonitovou rohoží z tkané a netkané geotextílie s mezivrstvou vysoce hodnotného bentonitu (pro střední radonový index). "</t>
  </si>
  <si>
    <t>Separační vrstva z PE fólie</t>
  </si>
  <si>
    <t>Konstrukce zámečnické</t>
  </si>
  <si>
    <t>767</t>
  </si>
  <si>
    <t>HZS2131</t>
  </si>
  <si>
    <t>Hodinová zúčtovací sazba zámečník</t>
  </si>
  <si>
    <t>Přesun hmot procentní pro zámečnické konstrukce v objektech v do 12 m</t>
  </si>
  <si>
    <t>767999902 SPC</t>
  </si>
  <si>
    <t>713999106 SPC</t>
  </si>
  <si>
    <t>713999107 SPC</t>
  </si>
  <si>
    <t>" Včetně kotvících a lepících prvků. "</t>
  </si>
  <si>
    <t>D+M Smykové lišty proti potlačení - Specifikace dle PD</t>
  </si>
  <si>
    <t>" Vnitřní ocelové konstrukce otrýskány na stupeň Sa 2,5, povrchová úprava zákadním epoxidový nátěrem v min. tloušťce 80 µm a vrchní epoxidový nátěr v celkové min. tloušťce 120 µm."</t>
  </si>
  <si>
    <t>" Ocelová konstrukce výrobní skupiny EXC2 dle ČSN EN 1090, nosné ocelové prvky dle ČSN EN 10025+A1 z oceli S355. "</t>
  </si>
  <si>
    <t>713999108 SPC</t>
  </si>
  <si>
    <t>43099902 SPC</t>
  </si>
  <si>
    <t>43099903 SPC</t>
  </si>
  <si>
    <t>711999102 SPC</t>
  </si>
  <si>
    <t>" V ceně také ukončovací , přechodové lišty z nerezových profilů s dilatační zónou, dilatační dvousložkové plastové profily, podlahové pásky po obvodu místností a keramický sokl v. 80mm."</t>
  </si>
  <si>
    <t>Stavba:   Stavební úpravy objektu Gayerových kasáren vč. přístavby, Opletalova 334/2, Hradec Králové</t>
  </si>
  <si>
    <t>Objekt:   D.1.1. ASŘ - PŘÍSTAVBA</t>
  </si>
  <si>
    <t>JKSO: 801.46.2.1</t>
  </si>
  <si>
    <t>001</t>
  </si>
  <si>
    <t>Čerpání vody na dopravní výšku do 10 m průměrný přítok do 500 l/min</t>
  </si>
  <si>
    <t>Pohotovost čerpací soupravy pro dopravní výšku do 10 m přítok do 500 l/min</t>
  </si>
  <si>
    <t>den</t>
  </si>
  <si>
    <t>119001421</t>
  </si>
  <si>
    <t>Dočasné zajištění kabelů a kabelových tratí ze 3 volně ložených kabelů</t>
  </si>
  <si>
    <t>Příplatek za ztížení vykopávky v blízkosti podzemního vedení</t>
  </si>
  <si>
    <t>Úprava pláně v hornině tř. 1 až 4 bez zhutnění</t>
  </si>
  <si>
    <t>CS ÚRS 2018 01</t>
  </si>
  <si>
    <t>Příplatek za lepivost u hloubení jam nezapažených v hornině tř. 3</t>
  </si>
  <si>
    <t xml:space="preserve">" Hloubení jámy pro přístavbu - 75 % z celkové kubatury " </t>
  </si>
  <si>
    <t xml:space="preserve">" Hloubení jámy pro přístavbu - 25 % z celkové kubatury " </t>
  </si>
  <si>
    <t>Svislé přemístění výkopku z horniny tř. 1 až 4 hl výkopu do 2,5 m</t>
  </si>
  <si>
    <t>Hloubení rýh š do 2000 mm v hornině tř. 4 objemu do 100 m3</t>
  </si>
  <si>
    <t>Hloubení rýh š do 2000 mm v hornině tř. 3 objemu do 100 m3</t>
  </si>
  <si>
    <t>Příplatek za lepivost k hloubení rýh š do 2000 mm v hornině tř. 3</t>
  </si>
  <si>
    <t>Příplatek za lepivost k hloubení rýh š do 2000 mm v hornině tř. 4</t>
  </si>
  <si>
    <t xml:space="preserve">CS ÚRS/TEO 2018 01 </t>
  </si>
  <si>
    <t>97899943 SPC</t>
  </si>
  <si>
    <t>" V položce zahrnuto naložení, odvoz sypaniny, složení a rozprostření sypaniny, hrubé terénní úpravy, likvidace v souladu se zákonem č. 185/2001 Sb., o odpadech, dle technologie a místa určené zhotovitelem, včetně poplatků za uložení sypaniny. "</t>
  </si>
  <si>
    <t>CS ÚRS/TRO 2018 01</t>
  </si>
  <si>
    <t>Hloubení jam nezapažených v hornině tř. 4 objemu do 1000 m3, včetně naložení výkopku</t>
  </si>
  <si>
    <t>Příplatek za lepivost u hloubení jam nezapažených v hornině tř. 4</t>
  </si>
  <si>
    <t>" Cena zahrnuje veškeré systémové prvky (těsnící profily, bobtnající pásy, pohledové lišty, dilatační krycí lišty apod.). "</t>
  </si>
  <si>
    <t xml:space="preserve">" Hloubení rýhy pro patky pro sloupy přístavby - 75 % z celkové kubatury " </t>
  </si>
  <si>
    <t xml:space="preserve">" Hloubení rýhy pro patky pro sloupy přístavby - 25 % z celkové kubatury " </t>
  </si>
  <si>
    <t>" Cena zahrnuje veškeré systémové prvky (těsnící profily, bobtnající pásy, pohledové lišty, dilatační krycí lišty apod.) "</t>
  </si>
  <si>
    <t>Výztuž sloupů hranatých betonářskou ocelí 10 505 (R)</t>
  </si>
  <si>
    <t>Výztuž nosných zdí betonářskou ocelí 10 505 (R)</t>
  </si>
  <si>
    <t>Výztuž nosníků, volných trámů nebo průvlaků volných trámů betonářskou ocelí 10 505 (R)</t>
  </si>
  <si>
    <t xml:space="preserve">" Stavební práce a dodávky spojené s provedením funkčního celku 771 " </t>
  </si>
  <si>
    <t>" Montáž stříška v místě vchodů " 3,4*2+3,1*2</t>
  </si>
  <si>
    <t>Podsyp pod základové konstrukce se zhutněním z netříděného štěrkopísku</t>
  </si>
  <si>
    <t>Zřízení bednění základových patek</t>
  </si>
  <si>
    <t>Odstranění bednění základových patek</t>
  </si>
  <si>
    <t>Výztuž základových patek betonářskou ocelí 10 505 (R)</t>
  </si>
  <si>
    <t>Zřízení oboustranného bednění nosných nadzákladových zdí</t>
  </si>
  <si>
    <t>Odstranění oboustranného bednění nosných nadzákladových zdí</t>
  </si>
  <si>
    <t>Zřízení bednění čtyřúhelníkových sloupů v do 4 m průřezu do 0,36 m2</t>
  </si>
  <si>
    <t>" Bednění sloupů rozměrů 0,4×0,5 m "</t>
  </si>
  <si>
    <t>Odstranění bednění čtyřúhelníkových sloupů v do 4 m průřezu do 0,36 m2</t>
  </si>
  <si>
    <t>Zřízení bednění stropů deskových tl do 25 cm bez podpěrné kce</t>
  </si>
  <si>
    <t>Odstranění bednění stropů deskových tl do 25 cm bez podpěrné kce</t>
  </si>
  <si>
    <t>Zřízení podpěrné konstrukce stropů výšky do 4 m tl do 25 cm</t>
  </si>
  <si>
    <t>Odstranění podpěrné konstrukce stropů výšky do 4 m tl do 25 cm</t>
  </si>
  <si>
    <t>Výztuž stropů betonářskou ocelí 10 505 (R)</t>
  </si>
  <si>
    <t>Zřízení bednění nosníků a průvlaků bez podpěrné kce výšky do 100 cm</t>
  </si>
  <si>
    <t>Odstranění bednění nosníků a průvlaků bez podpěrné kce výšky do 100 cm</t>
  </si>
  <si>
    <t>Zřízení podpěrné konstrukce nosníků výšky podepření do 4 m pro nosník výšky do 100 cm</t>
  </si>
  <si>
    <t>Odstranění podpěrné konstrukce nosníků výšky podepření do 4 m pro nosník výšky do 100 cm</t>
  </si>
  <si>
    <t>003</t>
  </si>
  <si>
    <t>Montáž lešení řadového trubkového lehkého s podlahami zatížení do 200 kg/m2 š do 1,5 m v do 10 m</t>
  </si>
  <si>
    <t>Příplatek k lešení řadovému trubkovému lehkému s podlahami š 1,5 m v 10 m za první a ZKD den použití</t>
  </si>
  <si>
    <t>Demontáž lešení řadového trubkového lehkého s podlahami zatížení do 200 kg/m2 š do 1,5 m v do 10 m</t>
  </si>
  <si>
    <t>Lešení pomocné pro objekty pozemních staveb s lešeňovou podlahou v do 1,9 m zatížení do 150 kg/m2</t>
  </si>
  <si>
    <t>" Montáž TI podlahy "</t>
  </si>
  <si>
    <t>" Dodávka TI podlahy "</t>
  </si>
  <si>
    <t>SDK podhled základní penetrační nátěr</t>
  </si>
  <si>
    <t>712999101 SPC</t>
  </si>
  <si>
    <t>D+M Atikový klín plochíé střechy</t>
  </si>
  <si>
    <t>" Montáž atikového klínu "</t>
  </si>
  <si>
    <t>" Dodávka atikového klínu "</t>
  </si>
  <si>
    <t>712999102 SPC</t>
  </si>
  <si>
    <t>SDK příčka tl 100 mm profil CW+UW 50 desky 2xA 12,5 TI 50 mm EI 60 Rw 50 dB</t>
  </si>
  <si>
    <t>767999901 SPC</t>
  </si>
  <si>
    <t xml:space="preserve">" Stavební práce a dodávky spojené s provedením funkčního celku 767 " </t>
  </si>
  <si>
    <t>" Plochá střecha přístavby " 44,6*10,35</t>
  </si>
  <si>
    <t>" - Penetrační asfaltový nátěr - 507,54 m2"</t>
  </si>
  <si>
    <t>" - Separační vrstvy z geotextílie - 530,61 m2 "</t>
  </si>
  <si>
    <t>" - Hydroizolační fólie  - tl. 2,0 mm - 530,61 m2. "</t>
  </si>
  <si>
    <t>" - Praný říční štěrk (kačírek) frakce 8 - 16 mm - tl. 50 mm - 24,23 m3</t>
  </si>
  <si>
    <t>Zasklívání</t>
  </si>
  <si>
    <t xml:space="preserve">D+M Vnitřní prosklená příčka - Specifikace dle PD </t>
  </si>
  <si>
    <t>" Prosklená příčka - 1. PP "</t>
  </si>
  <si>
    <t>" Prosklená příčka - 1. NP "</t>
  </si>
  <si>
    <t>SDK stěna šachtová tl 75 mm profil UW+2xCW 50 desky 2xDF 12,5 TI 50 mm 45 kg/m3 EI 45</t>
  </si>
  <si>
    <t>590</t>
  </si>
  <si>
    <t>" SDK příčky - v 1. NP  - v recepci "</t>
  </si>
  <si>
    <t>Dokončovací práce - malby</t>
  </si>
  <si>
    <t>784211101 RTO</t>
  </si>
  <si>
    <t>Základní akrylátová jednonásobná penetrace podkladu v místnostech výšky do 3,80m</t>
  </si>
  <si>
    <t xml:space="preserve">" Stavební práce a dodávky spojené s provedením funkčního celku 784 " </t>
  </si>
  <si>
    <t>Výztuž základových pásů betonářskou ocelí 10 505 (R)</t>
  </si>
  <si>
    <t>Výztuž základových desek betonářskou ocelí 10 505 (R)</t>
  </si>
  <si>
    <t>CS ÚRS/TEO 2018 01</t>
  </si>
  <si>
    <t>" Zásklení střešní konstrukce v místě styku přístavby se stávajícím objektem - horní povrch " 73,6</t>
  </si>
  <si>
    <t>" Zásklení střešní konstrukce v místě styku přístavby se stávajícím objektem - boky " 3,05*4</t>
  </si>
  <si>
    <t>" Atikový klín okolo atiky " 44,6*2+10,35*2</t>
  </si>
  <si>
    <t>" SDK desky - v 1. PP - místnostiu P.01.04, P.01.06 " (71,068)*1,1</t>
  </si>
  <si>
    <t>" SDK desky - v 1. NP - místnostiu P.1.04, P.1.01 " (65,984)*1,1</t>
  </si>
  <si>
    <t>" Montáž SDK desky na TI - v 1. PP - místnostiu P.01.04, P.01.06 " 71,068</t>
  </si>
  <si>
    <t>" Montáž SDK desky na TI - v 1. NP - místnostiu P.1.04, P.1.01 " 65,984</t>
  </si>
  <si>
    <t>" Samonosné schodišťové teracové stupně pro ocelové schodiště kotvené ke schodnicím "</t>
  </si>
  <si>
    <t xml:space="preserve">" Stavební práce a dodávky spojené s provedením funkčního celku 711 " </t>
  </si>
  <si>
    <t xml:space="preserve">" Zednická výpomoc, doplňkové práce, kompletace apod. " </t>
  </si>
  <si>
    <t>" Montáž hydroizolační fólie "</t>
  </si>
  <si>
    <t>" Dodávka hydroizolační fólie "</t>
  </si>
  <si>
    <t>Přesun hmot procentní pro zasklívání v objektech v do 12 m</t>
  </si>
  <si>
    <t>HZS2181</t>
  </si>
  <si>
    <t>Hodinová zúčtovací sazba sklenář</t>
  </si>
  <si>
    <t xml:space="preserve">" Stavební práce a dodávky spojené s provedením funkčního celku 787." </t>
  </si>
  <si>
    <t xml:space="preserve">" V ceně příprava podkladu - očištění, vyrovnání, vyspravení apod. " </t>
  </si>
  <si>
    <t>" Střecha přístavby - horní část atiky "  0,565*45,4+(0,465*11,1*2)+(0,315*10,2*2)</t>
  </si>
  <si>
    <t>" - Natavitelný SBS modifikovaný asfaltový pás - tl. 4,0 mm - 113,39 m2"</t>
  </si>
  <si>
    <t>" - Penetrační asfaltový nátěr - 113,39 m2 "</t>
  </si>
  <si>
    <t>" Vnitřní rampy v 1. PP " ((0,36+0,6+2,17+1,764)*2)*1,05</t>
  </si>
  <si>
    <t xml:space="preserve">" Stavební práce a dodávky spojené s provedením funkčního celku 790 " </t>
  </si>
  <si>
    <t>D+M Orientační a informativní systém interiér - Specifikace dle PD</t>
  </si>
  <si>
    <t xml:space="preserve">" Zednická výpomoc,doplňkové práce,kompletace,zřízení prostupů,zapravení prostupů, apod. " </t>
  </si>
  <si>
    <t>Výztuž schodišťové konstrukce a rampy betonářskou ocelí 10 505 (R)</t>
  </si>
  <si>
    <t>Zřízení bednění podest schodišť a ramp přímočarých v do 4 m</t>
  </si>
  <si>
    <t>" Boční bednění pro vnitřní rampu " (0,93+3,01+1+2,562)*2</t>
  </si>
  <si>
    <t>Odstranění bednění podest schodišť a ramp přímočarých v do 4 m</t>
  </si>
  <si>
    <t>434121415 RTO</t>
  </si>
  <si>
    <t>Osazení schodišťových stupňů broušených nebo leštěných na schodnice z teraca - Specifikace dle PD</t>
  </si>
  <si>
    <t>593</t>
  </si>
  <si>
    <t>014</t>
  </si>
  <si>
    <t>" V ceně také odstranění obednění "</t>
  </si>
  <si>
    <t>Ochrana konstrukcí nebo samostatných prvků obedněním</t>
  </si>
  <si>
    <t>deska sdk A tl 15,0mm</t>
  </si>
  <si>
    <t>787313901 SPC</t>
  </si>
  <si>
    <t>787813901 SPC</t>
  </si>
  <si>
    <t>" V ceně veškeré příslušenství pro upevnění stupňů "</t>
  </si>
  <si>
    <t>59373752 RTO</t>
  </si>
  <si>
    <t>" Pro objekt přístavby " (631,4*1,81)*0,75</t>
  </si>
  <si>
    <t>" Svahování " (1,65*(5,65+2,5+7,01+14,71+49,73+14,71+5,2+2,55+3,84))*0,75</t>
  </si>
  <si>
    <t>" Svahování " (1,65*(5,65+2,5+7,01+14,71+49,73+14,71+5,2+2,55+3,84))*0,25</t>
  </si>
  <si>
    <t>" Pro objekt " (631,4*1,81)*0,25</t>
  </si>
  <si>
    <t>" Příplatek 10 % " (988,18+329,39)*0,10</t>
  </si>
  <si>
    <t>" Lepivost 50 % " (988,18)*0,5</t>
  </si>
  <si>
    <t>" Lepivost 50 % " (329,39)*0,5</t>
  </si>
  <si>
    <t xml:space="preserve">" Hloubení rýhy pro pásy - 75 % z celkové kubatury " </t>
  </si>
  <si>
    <t>" Hloubení rýh pro pásy " ((19,15+4,05+1,92+0,49)*0,2+(1,08+1,05)*0,35)*0,75</t>
  </si>
  <si>
    <t xml:space="preserve">" Hloubení rýhy pro pásy - 25 % z celkové kubatury " </t>
  </si>
  <si>
    <t>" Hloubení rýh pro pásy " ((19,15+4,05+1,92+0,49)*0,2+(1,08+1,05)*0,35)*0,25</t>
  </si>
  <si>
    <t>" Pro piloty Ø 630 mm " ((1,0*1,0*10)*0,35)*0,75</t>
  </si>
  <si>
    <t>" Pro piloty Ø 900 mm " ((1,2*1,2*20)*0,35)*0,75</t>
  </si>
  <si>
    <t>" Pro piloty Ø 630 mm " ((1,0*1,0*10)*0,35)*0,25</t>
  </si>
  <si>
    <t>" Pro piloty Ø 900 mm " ((1,2*1,2*20)*0,35)*0,25</t>
  </si>
  <si>
    <t>" Lepivost 50 % " (4,86)*0,5</t>
  </si>
  <si>
    <t>" Přemístění výkopku z hloubení rýh - 100 % z celkového objemu " (14,59+4,86)*1,0</t>
  </si>
  <si>
    <t>" Přemístění z hloubení stavební jámy - 3 % z celkového objemu " (988,18+329,39)*0,03</t>
  </si>
  <si>
    <t>" Úprava pláně v horninách tříd 1 až 4 v ploše budoucí přístavby " (631,4)</t>
  </si>
  <si>
    <t>" Zhutnění rostlého terénu v místě základové spáry " 631,4</t>
  </si>
  <si>
    <t>" Základové patky na piloty - Ø  630 mm " ((1,0*1,0*0,80)*10)*1,05</t>
  </si>
  <si>
    <t>" Základové patky na piloty - Ø  900 mm " ((1,2*1,2*0,80)*20)*1,05</t>
  </si>
  <si>
    <t>" Bednění základových patek nad piloty - Ø  630 mm " (1,0*4*0,80)*10</t>
  </si>
  <si>
    <t>" Bednění základových patek nad piloty - Ø  900 mm " (1,2*4*0,80)*20</t>
  </si>
  <si>
    <t>" Základové pásy - mezi sloupy a stávající objekt, vnitřní " (0,84+1,152+0,36+0,86)*1,05</t>
  </si>
  <si>
    <t xml:space="preserve"> " Základové pásy pod venkovní schodiště " (1,257+1,227+0,567+1,721+1,721+1,228+1,253+1,253)*1,05</t>
  </si>
  <si>
    <t>" Základové pásy pro vnitřní rampy, schodiště " (0,069+0,55+0,42+0,42+0,069+0,482+0,482+0,316+0,106+1,059+0,923+0,107+0,161+0,125+0,641+0,808+0,647+0,126+0,126+0,708+1,773+1,773+0,245+0,416+0,416+1,059+0,245+0,012+0,068+0,012+0,536+0,068+0,298+1,143+0,35+0,984+0,554+1,169+0,922+0,347+0,711+0,262+2,266+1,298+0,393+0,195+1,298+0,033+0,368+1,536)*1,05</t>
  </si>
  <si>
    <t>" Bednění základových prahů mezi patkami " 10,764+1,1+1,604+7,701+7,701+24,19+24,19+10,944+13,509+13,509+13,509+19,898+20,503+20,503+19,898+13,424+13,471+18,166+18,166</t>
  </si>
  <si>
    <t>" Bednění základových pásů - mezi sloupy a stávající objekt, vnitřní " 2,28+4,56+3,76+3,88</t>
  </si>
  <si>
    <t>" Bednění pásů pod venkovní schodiště " 4,533+9,818+5,852+10,027+10,027+6,347+14,073+13,796</t>
  </si>
  <si>
    <t>" Bednění pásů pod vnitřní schodiště, rampy " 1,156+1,167+1,446+1,751+0,85+3,518+3,931+0,924+1,407+5,14+5,537+0,098+0,098+1,96+1,96+2,01+2,224+4,292+6,814+6,965+12,875+12,875+3,328+3,328+3,365+3,365+0,55+0,55+2,53+4,55+4,82+4,82+8,47+8,426+0,671+0,671+5,102+1,172+1,206+17,734+17,735+1,297+1,554+0,346+4,417+6,089+6,92+6,12+18,484+6,001</t>
  </si>
  <si>
    <t>" Odvoz zeminy z výkopů pro přístavbu " 988,18+329,39+14,59+4,86</t>
  </si>
  <si>
    <t>" - Natavitelný SBS modifikovaný asfaltový pás s nosnou vložko z hliníkovo-polyesterové a skelné rohože (60 g/m2) - tl. 4,0 mm - 530,61 m2"</t>
  </si>
  <si>
    <t>" - Tepelná izolace z desek z polyisokyanurátu (PIR), λ = 0,026 W/mK, pro zatížení do 12 000 kg/m2, dvouvrstvá pokládka 2x120 mm, celoplošně lepená - tl. 240 mm  - 507,54 m2. "</t>
  </si>
  <si>
    <t>" - Spádové klíny z desek z polyisokyanurátu (PIR), λ = 0,040 W/mK, spojování desek PUR lepící pěnou - tl. 20-90 mm  - 507,54 m2. "</t>
  </si>
  <si>
    <t>622</t>
  </si>
  <si>
    <t>62299901 SPC</t>
  </si>
  <si>
    <t>D+M Bezprašný epoxidový nátěr stěn a podlah, dvojnásobný - Specifikace dle PD</t>
  </si>
  <si>
    <t>" Venkovní lešení pro přístavbu " (5,0+2,85+6,6+14,1+48,4+14,1+6,6+2,9+5)*6,77</t>
  </si>
  <si>
    <t>" Pronájem lešení - odhad 5 měsíců " (714,57)*150</t>
  </si>
  <si>
    <t>" Montáž ochranné sítě pro použité lešení " (5,0+2,85+6,6+14,1+48,4+14,1+6,6+2,9+5)*6,77</t>
  </si>
  <si>
    <t>" Pronájem sítě - odhad 5 měsíců " (714,57)*150</t>
  </si>
  <si>
    <t>" Pronájem stříšky - odhad 5 měsíců " (13)*150</t>
  </si>
  <si>
    <t>" Zpětný zásyp kolem objektu přístavby " 174,74+174,74</t>
  </si>
  <si>
    <t>" Stěrkopísek pro zásyp kolem opjektu přístavby " (349,48)*2,0</t>
  </si>
  <si>
    <t xml:space="preserve">" Čistý úklid střecha - 1/3 plochy " (461,61+73,6)*(1/3) </t>
  </si>
  <si>
    <t>" Podsyp pod rampou " (44,6*2,6*0,9)-6,2</t>
  </si>
  <si>
    <t xml:space="preserve">" Základová deska - tl. 150 mm - pod objektem " (421,25*0,15)*1,05 </t>
  </si>
  <si>
    <r>
      <t xml:space="preserve">" Základová deska - tl. 200 mm - pro rampy - venkovní " </t>
    </r>
    <r>
      <rPr>
        <sz val="8"/>
        <color rgb="FF0000FF"/>
        <rFont val="Arial CE"/>
        <family val="2"/>
        <charset val="238"/>
      </rPr>
      <t>((3,95+4,15)*3,2)*1,05</t>
    </r>
    <r>
      <rPr>
        <sz val="8"/>
        <color rgb="FFFF0000"/>
        <rFont val="Arial CE"/>
        <family val="2"/>
        <charset val="238"/>
      </rPr>
      <t xml:space="preserve"> </t>
    </r>
  </si>
  <si>
    <r>
      <t xml:space="preserve">" Bednění základové desky - tl. 200 mm - pro rampy " </t>
    </r>
    <r>
      <rPr>
        <sz val="8"/>
        <color rgb="FF0000FF"/>
        <rFont val="Arial CE"/>
        <family val="2"/>
        <charset val="238"/>
      </rPr>
      <t>9,88+10,38+3,2</t>
    </r>
  </si>
  <si>
    <t>" Bednění základové desky - tl. 150 mm - pod objektem¨" 19,03</t>
  </si>
  <si>
    <t>" Bednění atiky " 0,5*(44,6*2+10,35*2)+0,65*45,4*2*2+0,65*11,1*2*2</t>
  </si>
  <si>
    <t>" Atika " (0,65*0,4*45,4+0,65*0,4*10,35*2+0,65*0,25*45,4)*1,05</t>
  </si>
  <si>
    <t>" Bednění sloupů tvaru A "</t>
  </si>
  <si>
    <t>" Stupně u rampy " (0,17+0,14+0,1)*1,05</t>
  </si>
  <si>
    <t>" Bednění pro stupně u rampy " (0,77+0,82+0,784)</t>
  </si>
  <si>
    <t>" Venkovní předsazené schodiště - deska + stupně " (0,41*2,65)*2+(0,025*2,65*8)*2</t>
  </si>
  <si>
    <t>" Bednění pro venkovní předsazené schodiště - deska + stupně " (0,41*2+0,025*2*8)*2</t>
  </si>
  <si>
    <t>" Podsyp pod schodišťovou desku venkovního schodiště " (2,52*2,65)*2</t>
  </si>
  <si>
    <t>" Samonosné schodišťové teracové stupně pro ocelové schodiště kotvené ke schodnicím " 1,45*23+2,66*3</t>
  </si>
  <si>
    <t>schodišťový stupeň teracový do délky 270, do šíře 30, do výše 18 cm</t>
  </si>
  <si>
    <t xml:space="preserve">Podkladní nebo výplňová vrstva z betonu C 12/15 - X0 tl do 100 mm </t>
  </si>
  <si>
    <t>D+M Keramická dlažba - Podlaha v 1.PP - Specifikace dle PD - D.1.1.c.03. VÝPIS SKLADEB KONSTRUKCÍ - P-P1.</t>
  </si>
  <si>
    <t>D+M Keramická dlažba - Podlaha v 1.NP - Specifikace dle PD - D.1.1.c.03. VÝPIS SKLADEB KONSTRUKCÍ - P-P3. + P-P4.</t>
  </si>
  <si>
    <t>" Nátěr stupňů u vnitřních ramp " (1,3+1,29+0,99)</t>
  </si>
  <si>
    <t>" Vodorovná hydroizolace - objekt " 421,25</t>
  </si>
  <si>
    <t>" Vodorovná hydroizolace - rampa " 3,2*(19,75+20,75)</t>
  </si>
  <si>
    <t>Hloubení jam nezapažených v hornině tř. 3 objemu do 1000 m3</t>
  </si>
  <si>
    <t>Základové desky ze ŽB se zvýšenými nároky na prostředí tř. C 25/30 - XC2 - XA1</t>
  </si>
  <si>
    <t>Základové pasy ze ŽB se zvýšenými nároky na prostředí tř. C 25/30 - XC2 - XA1</t>
  </si>
  <si>
    <t>Zřízení bednění základových pasů rovného</t>
  </si>
  <si>
    <t>Odstranění bednění základových pasů rovného</t>
  </si>
  <si>
    <t xml:space="preserve">Základové patky ze ŽB se zvýšenými nároky na prostředí tř. C 25/30 - XC2 - XA1 </t>
  </si>
  <si>
    <t>" Vnitřní prosklená příčka tl. 80 mm "</t>
  </si>
  <si>
    <t>" Zásklení v místě bastionu " 3,75*2</t>
  </si>
  <si>
    <t>" Ocelová konstrukce schodiště vč. podpůrné konstrukce "</t>
  </si>
  <si>
    <t>D+M Plochá střecha objektu přístavby - Specifikace dle PD - VÝPIS SKLADEB KONSTRUKCÍ - P-S1. + P-S2.</t>
  </si>
  <si>
    <t xml:space="preserve">D+M Spodní části stropní konstrukce nad venkovní rampou - Specifikace dle PD - D.1.1.c.03. VÝPIS SKLADEB KONSTRUKCÍ - P-S2. </t>
  </si>
  <si>
    <t>" Zateplení spodní částí stropu nad venkovní rampou - část ke stropní konstrukci "</t>
  </si>
  <si>
    <t>" Zateplení stropní konstrukce - nad prostorem rampy " 2,55*44,6</t>
  </si>
  <si>
    <t>451999101 SPC</t>
  </si>
  <si>
    <t>" Dilatace v místech u předloženého schodiště " (6,75)*1,1</t>
  </si>
  <si>
    <t>" Ocelová konstrukce prosklené střechy u krčku - zavětrování</t>
  </si>
  <si>
    <t>" Ocelová konstrukce plošiny mezi vnitřními rampami - lávka</t>
  </si>
  <si>
    <t>" Ocelová konstrukce prosklené střechy - nad ocelovým schodištěm "</t>
  </si>
  <si>
    <t>" Ocelová konstrukce pro zasklení v okolí bastionu - ochoz "</t>
  </si>
  <si>
    <t>" Ocelová konstrukce výrobní skupiny EXC2 dle ČSN EN 1090, nosné ocelové prvky dle ČSN EN 10025+A1 z oceli S460. "</t>
  </si>
  <si>
    <t>" Střecha přístavby - vnitřní část atiky " 0,5*(44,6*2+10,35*2)</t>
  </si>
  <si>
    <t>" Nátěr vnitřních ramp " (18,74+18,47)</t>
  </si>
  <si>
    <t>" Seperace pro skladbu P-P2. - pod vnitřní rampy " (18,74+18,47)*1,15</t>
  </si>
  <si>
    <t>D+M Zateplení podlahy v 1. PP na základovou desku pro skladbu podlahy P-P2.  - Specifikace dle PD</t>
  </si>
  <si>
    <t>" Zateplení podlahy v 1. PP " (18,74+18,47)</t>
  </si>
  <si>
    <t>" - Tepelná izolace - minerální vlna λ = 0,036 W/mK, kotveno na dřevoštěpkovou desku - tl. 150 mm - 125,11 m2</t>
  </si>
  <si>
    <t>" - Omítka vzhledu pohledového betonu, výztužná vrstva tvořená vápenocementovým tmelem, armovací cíťovina ze skelných vláken - tl. 10 mm - 125,11 m2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</si>
  <si>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odpadu. " </t>
  </si>
  <si>
    <t>" V ceně přesun hmot, suti, veškerého materiálu nutného pro správné provedení "</t>
  </si>
  <si>
    <t>" Příplatek pro prahy z pohledového betonu " 10,764+1,604+10,944+13,509+13,509+13,509+20,503+20,503+20,503+20,503</t>
  </si>
  <si>
    <t xml:space="preserve">" Základové prahy mezi patky " (3,933+3,933+1,54+4,275+4,894+1,54+4,894+4,275)*1,05 </t>
  </si>
  <si>
    <t>" Základové prahy v čelní straně u sloupů tvaru "A" " (3,827+2,428+3,827+2,428+0,225+3,827+2,428+3,827+1,915+2,025+0,104)*1,05</t>
  </si>
  <si>
    <t>311321815 RTO</t>
  </si>
  <si>
    <t>Nosná zeď ze  ŽB pohledového třídy pevnosti C 30/37 - XC1 - probarvený beton - PB3 - Specifikace dle PD</t>
  </si>
  <si>
    <t>Příplatek k cenám bednění nosných nadzákladových zdí za pohledový beton</t>
  </si>
  <si>
    <t>Sloupy nebo pilíře ze  ŽB pohledového třídy pevnosti C 30/37 - XC1 - probarvený beton - PB3 - Specifikace dle PD</t>
  </si>
  <si>
    <t>330321611 RTO</t>
  </si>
  <si>
    <t>Zřízení bednění čtyřúhelníkových sloupů v do 6 m průřezu do 0,16 m2</t>
  </si>
  <si>
    <t>Odstranění bednění čtyřúhelníkových sloupů v do 6 m průřezu do 0,16 m2</t>
  </si>
  <si>
    <t>Příplatek k cenám bednění čtyřúhelníkových sloupů za pohledový beton</t>
  </si>
  <si>
    <t>Stropy deskové ze  ŽB pohledového třídy pevnosti C 30/37 - XC1 - probarvený beton - PB3 - Specifikace dle PD</t>
  </si>
  <si>
    <t>411324646 RTO</t>
  </si>
  <si>
    <t>Příplatek k cenám bednění stropů za pohledový beton</t>
  </si>
  <si>
    <t>413322626 RTO</t>
  </si>
  <si>
    <t>Nosníky ze  ŽB pohledového třídy pevnosti C 30/37 - XC1 - probarvený beton - PB3 - Specifikace dle PD</t>
  </si>
  <si>
    <t>Příplatek k cenám bednění nosníků za pohledový beton</t>
  </si>
  <si>
    <t>211</t>
  </si>
  <si>
    <t>11</t>
  </si>
  <si>
    <t>13</t>
  </si>
  <si>
    <t>" Výztuž základových desek - 160 kg/m3, hmotnost výztuže včetně ztratného a provaření výztuže. " ((27,22+66,35)/1,05)*0,160</t>
  </si>
  <si>
    <t>274322901 SPC</t>
  </si>
  <si>
    <t>Základové prahy ze  ŽB pohledového třídy pevnosti C 30/37 - XC1 - probarvený beton - PB3 - Specifikace dle PD</t>
  </si>
  <si>
    <t>Příplatek k cenám bednění nosných základových prahů za pohledový beton</t>
  </si>
  <si>
    <t>274351901 SPC</t>
  </si>
  <si>
    <t>" Výztuž základových prahů a pásů (mimo vnitřních) 220 kg/m3, hmotnost výztuže včetně ztratného a provaření výztuže. " ((30,75+10,74+30,55+28,2)/1,05)*0,220</t>
  </si>
  <si>
    <t>" Výztuž základových pasů vnitřních 80 kg/m3, hmotnost výztuže včetně ztratného a provaření výztuže. " ((3,37)/1,05)*0,080</t>
  </si>
  <si>
    <t>" Výztuž základových patek 80 kg/m3, hmotnost výztuže včetně ztratného a provaření výztuže. " (32,59/1,05)*0,080</t>
  </si>
  <si>
    <t>" Výztuž stěn 180 kg/m3, hmotnost výztuže včetně ztratného. " ((17,19+15,94)/1,05)*0,180</t>
  </si>
  <si>
    <t>" Výztuž atiky 260 kg/m3, hmotnost výztuže včetně ztratného. " ((25,79)/1,05)*0,260</t>
  </si>
  <si>
    <t>" Výztuž sloupů 380 kg/m3, hmotnost výztuže včetně ztratného a kotevních trnů R25. " ((16,21+9,58+13,86)/1,05)*0,380</t>
  </si>
  <si>
    <t>Schodišťová konstrukce a rampa ze ŽB tř. C 25/30 - XC2, XA1</t>
  </si>
  <si>
    <t>" Výztuž ramp a stupňů u nich - 160 kg/m3, hmotnost výztuže včetně ztratného apod." ((10,28+0,43)/1,05)*0,160</t>
  </si>
  <si>
    <t>" Výztuž venkovního schodiště - 200 kg/m3, hmotnost výztuže včetně ztratného apod." (3,23/1,05)*0,200</t>
  </si>
  <si>
    <t>973031901 SPC</t>
  </si>
  <si>
    <t>" Strukturální modulová fasáda, hliníkové profily šířky 50 mm, barva RAL 7016 antracitová šedá, Zasklení izolačním trojsklem z lepeného tvrzeného skla ESG, bezpečnostní, BT 2, čiré, Součinitel prostupu tepla Uw = 0,9 W/m2K, Vzduchová neprůzvučnost fasády Rw = 38 dB "</t>
  </si>
  <si>
    <t>D+M Strukturální modulová prosklená fasáda - Specifikace dle PD - D.1.1.c.03. VÝPIS SKLADEB KONSTRUKCÍ - P-F1.</t>
  </si>
  <si>
    <t>763111621 RTO</t>
  </si>
  <si>
    <t xml:space="preserve">Montáž desek tl 12,5 mm </t>
  </si>
  <si>
    <t>" SDK desky na TI pro skladbu P-F2 "</t>
  </si>
  <si>
    <t>" Montáž SDK deska na TI pro skladbu P-F2. "</t>
  </si>
  <si>
    <t xml:space="preserve">D+M Izolace podzemních částí - provedení dle ČSN (ETICS), Perimetr tl. 200 mm - Specifikace dle PD - D.1.1.c.03. VÝPIS SKLADEB KONSTRUKCÍ - P-F3. </t>
  </si>
  <si>
    <t xml:space="preserve">D+M Izolace podzemních částí - provedení dle ČSN (ETICS), Perimetr tl. 50 mm - Specifikace dle PD - D.1.1.c.03. VÝPIS SKLADEB KONSTRUKCÍ - P-F4. </t>
  </si>
  <si>
    <t>D+M TI z minerální vlny pro skladbu P-F2 - Specifikace dle PD - D.1.1.c.03. VÝPIS SKLADEB KONSTRUKCÍ - P-F2.</t>
  </si>
  <si>
    <t>D+M TI z minerální vlny pro skladbu P-F5 - Specifikace dle PD - D.1.1.c.03. VÝPIS SKLADEB KONSTRUKCÍ - P-F5.</t>
  </si>
  <si>
    <t>D+M Zateplení atiky nad prosklenou střechou - Specifikace dle PD - D.1.1.c.03. VÝPIS SKLADEB KONSTRUKCÍ - P-F6.</t>
  </si>
  <si>
    <t>" Cena zahrnuje také fasádní zátky, upevnění desek lepením a kotvícím materiálem, dilatační a zakončovací lišty, rohový a lemovací systém . "</t>
  </si>
  <si>
    <t>" V ceně je také zakrývání vnějších otvorů a očištění podkladu tlakovou vodou. "</t>
  </si>
  <si>
    <t>" Zateplení atiky : "</t>
  </si>
  <si>
    <t xml:space="preserve">" Zateplení podzemní části objektu přístavby - mezi objektem přístavby a rampou " 0,75*(45,4) </t>
  </si>
  <si>
    <t>" -  Ochranná geotextílie - 64,26 m2 "</t>
  </si>
  <si>
    <t>" -  Nopová fólie HDPE, výška nopu je 20 mm, tl. fólie 1 mm - 64,26 m2 "</t>
  </si>
  <si>
    <t>" -  Tepelná izolace pro zateplení základů - EPS Perimetr. λ = 0,034 W/mK, celoplošně lepený bitumenovým lepidlem - tl. 200 mm - 61,46 m2 "</t>
  </si>
  <si>
    <t>" -  Ochranná geotextílie - 39,16 m2 "</t>
  </si>
  <si>
    <t>" -  Nopová fólie HDPE, výška nopu je 20 mm, tl. fólie 1 mm - 39,16 m2 "</t>
  </si>
  <si>
    <t>" -  Tepelná izolace pro zateplení základů - EPS Perimetr. λ = 0,034 W/mK, celoplošně lepený bitumenovým lepidlem - tl. 50 mm - 37,46 m2 "</t>
  </si>
  <si>
    <t>" Cena zahrnuje také fasádní polystyrenové zátky, upevnění desek lepením a kotvícím materiálem, dilatační a zakončovací lišty, rohový a lemovací systém. V ceně také ukončovací systémová lišta pro nopovou fólii. "</t>
  </si>
  <si>
    <t>" V ceně kotvící a spojovací prvky, zesílení hydroizolace v rozích a koutech, systémové řešení prostupů, utěsnění protupů. "</t>
  </si>
  <si>
    <t xml:space="preserve">" Zateplení pod střechou " 0,39*(45,4*2+11,1*2) </t>
  </si>
  <si>
    <t>" Zateplení v místě prosklené střechy v místě styku s plochou střechou " 1,45* (25,0+0,6*2)</t>
  </si>
  <si>
    <t>" - Finální povrchová úprava probarvenou organickou omítkou - 41,79 m2 "</t>
  </si>
  <si>
    <t>" - Armovací stěrka bezcementová - 41,79 m2 "</t>
  </si>
  <si>
    <t>" - Výztužná tkanina, včetně zesílení síťoviny u ostění a nadpraží otvorů  - 43,69 m2 "</t>
  </si>
  <si>
    <t>" - Tepelná izolace z kamenné vlny s podélnou orientací vláken, λ = 0,039 W/mK - tl. 220 mm  - 41,79 m2 "</t>
  </si>
  <si>
    <t>" Montáž TI stěn "</t>
  </si>
  <si>
    <t>" Dodávka TI stěn "</t>
  </si>
  <si>
    <t>" V ceně kotvící a spojovací prvky jednotlivých vrstev, dilatační asfaltové smyčky. "</t>
  </si>
  <si>
    <t>" Ochrana podzemních části prahu z pohledového betonu "  2,26*45,4+1,5*45,4</t>
  </si>
  <si>
    <t>" - Geotextilie netkaná - 196,31 m2 "</t>
  </si>
  <si>
    <t>" - Asfaltová hydroizolace - 196,31 m2 "</t>
  </si>
  <si>
    <t>" - Penetrační nátěr pod asfaltovou HI - 196,31 m2 "</t>
  </si>
  <si>
    <t>D+M Opatření podzemních částí základového prahu z pohledového betonu asfaltovou hydroizolací a ochrannou geotextílii - Specifikace dle PD</t>
  </si>
  <si>
    <t>" Ochrana podzemních části základového prahu z pohledového betonu  - skladba :</t>
  </si>
  <si>
    <t>" Svislá hydroizolace - v místě stávajícího objektu "  0,45*26,65</t>
  </si>
  <si>
    <t>" Svislá hydroizolace - mezi objektem přístavby a rampou "  0,75*45,4</t>
  </si>
  <si>
    <t xml:space="preserve">" Svislá hydroizolace - objekt přístavby - boky " 1,51*(10,4*2+8,1*2+2,75*2) </t>
  </si>
  <si>
    <t xml:space="preserve">" Zateplení podzemní části objektu přístavby " 1,51*(10,4*2+8,1*2+2,75*2) </t>
  </si>
  <si>
    <t>" Svislá hydroizolace - kolem bastionu "  0,4*(22,85*2+33,35*2+30,4*2)</t>
  </si>
  <si>
    <t>D+M Zasklení střešní konstrukce bezpečnostním sklem - Specifikace dle PD</t>
  </si>
  <si>
    <t>Zasklení v místě bastionu - ochozu - bezpečnostním sklem - Specifikace dle PD</t>
  </si>
  <si>
    <t>" Nátěr venkovních ramp " 51+52,38</t>
  </si>
  <si>
    <t>" Podsyp pod podkladní beton " (631,4)*0,45</t>
  </si>
  <si>
    <t>" Nátěr venkovních schodišť " (9,78+1,77)*2</t>
  </si>
  <si>
    <t>" Svislá hydroizolace - venkovní rampa - venkovní část "  0,25*(45,4)</t>
  </si>
  <si>
    <t>D+M Izolace venkovní rampy Perimetr tl. 50 mm - Specifikace dle PD</t>
  </si>
  <si>
    <t>" Tepelná izolace pro zateplení základů - EPS Perimetr. λ = 0,034 W/mK, celoplošně lepený bitumenovým lepidlem - tl. 50 mm "</t>
  </si>
  <si>
    <t>" Montáž TI "</t>
  </si>
  <si>
    <t>" Dodávka TI "</t>
  </si>
  <si>
    <t xml:space="preserve">" Zateplení podzemní části objektu přístavby - venkovní rampa - venkovní část " 0,25*(45,4) </t>
  </si>
  <si>
    <t>D+M Zateplení vnitřní a horní části atik pro objekt přístavby - Specifikace dle PD</t>
  </si>
  <si>
    <t>" SDK předstěna - opláštění ZTI - 1. NP " 8,624</t>
  </si>
  <si>
    <t>" Prosklená fasáda - tl. 200 mm " 169,551+210,067</t>
  </si>
  <si>
    <t>" SDK předstěna - opláštění ZTI - 1. PP " 6,660</t>
  </si>
  <si>
    <r>
      <t xml:space="preserve">" Penetrační nátěr SDK podhledů " </t>
    </r>
    <r>
      <rPr>
        <sz val="8"/>
        <color rgb="FF0000FF"/>
        <rFont val="Arial CE"/>
        <family val="2"/>
        <charset val="238"/>
      </rPr>
      <t>747,94</t>
    </r>
  </si>
  <si>
    <t>" Penetrační nátěr SDK příček a desek " 137,05+11,74</t>
  </si>
  <si>
    <t>" Ochrana stávajícího objektu při provádění schodiště a střechy " 8,3*26,65</t>
  </si>
  <si>
    <t>Vysekání kapes do stávajícího zdiva pro uložení nosníků vč. přípravy po osazení nosníku - Specifikace dle PD</t>
  </si>
  <si>
    <t xml:space="preserve">" Vysekání a úprava kapes - pro schodišťové nosníky " </t>
  </si>
  <si>
    <t xml:space="preserve">" Vysekání a úprava kapes - pro nosníky střešní konstrukce " </t>
  </si>
  <si>
    <t>" Zabetonování ocelových nosníků vč. úpravy okolí kapsy po zabetonování " 3+50</t>
  </si>
  <si>
    <t>" TI - v 1. PP - místnostiu P.01.04, P.01.06 " (71,068)</t>
  </si>
  <si>
    <t>" Vnitřní stěny 1. PP " (4,6*3,46)*4</t>
  </si>
  <si>
    <t>" Bednění stěn 1. PP " ((4,6*3,56)*2)*4</t>
  </si>
  <si>
    <t>" Sloupy 1. PP " ((0,5*0,4*3,86)*20)*1,05</t>
  </si>
  <si>
    <t>" Sloupy 1. PP - tvaru A " ((0,912)*10)*1,05</t>
  </si>
  <si>
    <t>" Bednění sloupů 1. PP " ((0,4*2+0,5*2)*3,86)*20</t>
  </si>
  <si>
    <t>" Bednění sloupů 1. PP - tvaru A " (0,325*6,0*2+0,4*6,0*2)*10</t>
  </si>
  <si>
    <t>" Strop nad 1. PP - deska tl. 250 mm " (7,9*44,6*0,25)*1,05</t>
  </si>
  <si>
    <t>" Strop nad 1. PP - deska tl. 200 mm " (3+0,661+0,904+1,508)*1,05</t>
  </si>
  <si>
    <t>" Bednění stropu nad 1. PP - podhled - tl. 250 + 200 mm " 313,11+23,383</t>
  </si>
  <si>
    <t>" Bednění stropu nad 1. PP - boky - tl. 250 + 200 mm " 22,902+5,363</t>
  </si>
  <si>
    <t>" Podpěrná konstrukce stropů nad 1. PP " 313,11+23,383</t>
  </si>
  <si>
    <t>" Výztuž stropů nad 1. PP - 160 kg/m3, hmotnost výztuže včetně ztratného apod." ((92,49+6,38)/1,05)*0,160</t>
  </si>
  <si>
    <t>" Nosníky 1. PP " (7,1*0,3*0,5+4,667*0,25*0,77+4,626*0,25*0,771)*1,05</t>
  </si>
  <si>
    <t>" Nosníky nad 1. PP - š. 400 mm " ((6,9*0,4*0,6)*9+(7,15*0,4*0,6)*1)*1,05</t>
  </si>
  <si>
    <t>" Nosníky nad 1. PP - š. 300 mm " ((4,6*0,3*0,6)*5)*1,05</t>
  </si>
  <si>
    <t>" Nosníky nad 1. PP - š. 250 mm " (0,71+0,263*2+0,288*5+0,131+0,162+0,078*2+0,069+0,188+0,166*2+0,445+0,078+0,094+0,148+0,072)*1,05</t>
  </si>
  <si>
    <t>" Bednění nosníků 1. PP " (9,43+8,805+8,733)</t>
  </si>
  <si>
    <t>" Bednění nosníků nad 1. PP - š. 400 mm " 11,52*8+11,97+11,86</t>
  </si>
  <si>
    <t>" Bednění nosníků nad 1. PP - š. 300 mm " 7,26*2+7,21*3</t>
  </si>
  <si>
    <t>" Bednění nosníků nad 1. PP - š. 250 mm " 0,825+0,862+1,062+0,95+0,988+1,176+1,7+1,781+1,95+1,987+1,989+2,261+3,275+3,275+3,575+3,575+3,575+3,575+3,575+5,282+5,695</t>
  </si>
  <si>
    <t>" Podpěrná konstrukce nosníků v 1. PP " 7,1*0,3+(4,667+4,626)*0,25</t>
  </si>
  <si>
    <t>" Podpěrná konstrukce nosníků nad 1. PP - š. 400 mm " (6,9*9+7,15*1)*0,4</t>
  </si>
  <si>
    <t>" Podpěrná konstrukce nosníků nad 1. PP - š. 300 mm " (4,6*5)*0,3</t>
  </si>
  <si>
    <t>" Podpěrná konstrukce nosníků nad 1. PP - š. 250 mm " (1,1+1,15+1,25*3+1,5+2,1+2,375+2,6+2,65+2,652+3,015+4,2*2+4,6*5+7,125+7,1)*0,25</t>
  </si>
  <si>
    <t>" Výztuž nosníků v a nad 1. PP - 300 kg/m3, hmotnost výztuže včetně ztratného apod." ((3+17,45+4,35+4,78)/1,05)*0,300</t>
  </si>
  <si>
    <t>" Vnitřní stěny 1. NP " (4,6*3,2)*4</t>
  </si>
  <si>
    <t>" Bednění stěn 1. NP " ((4,6*3,3)*2)*4</t>
  </si>
  <si>
    <t>" Sloupy 1. NP " ((0,5*0,4*3,3)*20)*1,05</t>
  </si>
  <si>
    <t>" Bednění sloupů 1. NP " ((0,4*2+0,5*2)*3,3)*20</t>
  </si>
  <si>
    <t>" Strop nad 1. NP - deska tl. 160 mm " (45,4*11,05*0,16)*1,05</t>
  </si>
  <si>
    <t>" Bednění stropu nad 1. NP - podhled - tl. 160 mm " 435,89</t>
  </si>
  <si>
    <t>" Bednění stropu nad 1. NP - boky - tl. 160 mm " 17,808</t>
  </si>
  <si>
    <t>" Podpěrná konstrukce stropů nad 1. NP " 435,89</t>
  </si>
  <si>
    <t>" Výztuž stropů nad 1. NP - 180 kg/m3, hmotnost výztuže včetně ztratného apod." (84,28/1,05)*0,180</t>
  </si>
  <si>
    <t>" Nosníky nad 1. NP - š. 400 mm " ((6,9*7+10,15*2+7,1+7+2,1)*0,4*0,34+45,4*0,4*0,34)*1,05</t>
  </si>
  <si>
    <t>" Nosníky nad 1. NP - š. 250 mm " (4,6*0,25*0,34*10+4,6*0,25*0,88+4,2*0,25*0,34)*1,05</t>
  </si>
  <si>
    <t>" Bednění nosníků nad 1. NP - š. 400 mm " 2,54+7,724*7+7,696+7,804+11,098+11,013+72,26</t>
  </si>
  <si>
    <t>" Bednění nosníků nad 1. NP - š. 250 mm " 4,448*9+4,076+4,363+9,686</t>
  </si>
  <si>
    <t>" Podpěrná konstrukce nosníků nad 1. NP - š. 400 mm " (2,1+6,9*7+7+7,1+10,15*2+45,4)*0,4</t>
  </si>
  <si>
    <t>" Podpěrná konstrukce nosníků nad 1. NP - š. 250 mm " (4,6*11+4,2)*0,25</t>
  </si>
  <si>
    <t>" Výztuž nosníků nad 1. NP - 260 kg/m3, hmotnost výztuže včetně ztratného apod." ((18,58+5,54)/1,05)*0,260</t>
  </si>
  <si>
    <t>" TI - v 1. NP - místnostiu P.1.04, P.1.01 " (65,984)</t>
  </si>
  <si>
    <t>" Stěny 1. PP " ((4,6*0,25*3,56)*4)*1,05</t>
  </si>
  <si>
    <t>" Stěny 1. NP " ((4,6*0,25*3,3)*4)*1,05</t>
  </si>
  <si>
    <t>" Malba SDK šachtové stěny " 15,28</t>
  </si>
  <si>
    <t>" Malba SDK příček a desek " 11,74+137,05</t>
  </si>
  <si>
    <t>" Monolitická teracová podesta pro ocelové schodiště " 1,4*2,56</t>
  </si>
  <si>
    <t>" Dilatace v místech sloupu tvaru A " (9,14)*1,1</t>
  </si>
  <si>
    <t>" Dilatace prahů u venkovní rampy " (1,65+0,49)*1,1</t>
  </si>
  <si>
    <t>" Dilatace v místech venkovní rampy " (3,06)*1,1</t>
  </si>
  <si>
    <t>" Dilatace v místě venkovní rampy " 2,55*6</t>
  </si>
  <si>
    <t>" Dilatace prahů u venkovní rampy " (1,5+0,3)</t>
  </si>
  <si>
    <t>" Dilatace betonových kontrukcí z klasického betonu - zatmelení bílým tmelem "</t>
  </si>
  <si>
    <t>" Dilatace betonových kontrukcí z pohledového černého betonu - zatmelení černým tmelem "</t>
  </si>
  <si>
    <t>" Dilatace v místech sloupu tvaru A " 3,2*2+0,4*2</t>
  </si>
  <si>
    <t xml:space="preserve">Náklady spojené s odvozem a uložením sypaniny </t>
  </si>
  <si>
    <t>" Podkladní beton pod základové konstrukce - tl. 50 mm " (129,6+11,45+14,85+421,25)*1,03</t>
  </si>
  <si>
    <t>712999103 SPC</t>
  </si>
  <si>
    <t>713999109 SPC</t>
  </si>
  <si>
    <t>D+M Zateplení odvodňovacího žlabu u prosklené střechy - Specifikace dle PD</t>
  </si>
  <si>
    <t>713999110 SPC</t>
  </si>
  <si>
    <t>D+M Zateplení atiky v místě u prosklené střechy - Specifikace dle PD</t>
  </si>
  <si>
    <t>431999101 SPC</t>
  </si>
  <si>
    <t>002</t>
  </si>
  <si>
    <t>Vrty velkoprofilové svislé zapažené D do 650 mm hl do 10 m hor. III</t>
  </si>
  <si>
    <t>" Vrty pro piloty - 25 % z délky "</t>
  </si>
  <si>
    <t>" Vrty pro piloty vč. hluchého vrtu - P1 " ((9,0+0,35)*8)*0,25</t>
  </si>
  <si>
    <t xml:space="preserve">" V ceně náklady na převoz, přemístění, montáž a demontáž vrtné soupravy. Náklady na svislé přemístění horniny z vrtu. " </t>
  </si>
  <si>
    <t>Vrty velkoprofilové svislé zapažené D do 650 mm hl do 10 m hor. IV</t>
  </si>
  <si>
    <t>" Vrty pro piloty - 65 % z délky "</t>
  </si>
  <si>
    <t>" Vrty pro piloty vč. hluchého vrtu - P1 " ((9,0+0,35)*8)*0,65</t>
  </si>
  <si>
    <t>Vrty velkoprofilové svislé zapažené D do 650 mm hl do 10 m hor. V</t>
  </si>
  <si>
    <t>" Vrty pro piloty - 10 % z délky "</t>
  </si>
  <si>
    <t>" Vrty pro piloty vč. hluchého vrtu - P1 " ((9,0+0,35)*8)*0,1</t>
  </si>
  <si>
    <t>Vrty velkoprofilové svislé zapažené D do 650 mm hl do 30 m hor. III</t>
  </si>
  <si>
    <t>" Vrty pro piloty vč. hluchého vrtu - P6 " ((20,0+0,35)*2)*0,25</t>
  </si>
  <si>
    <t>Vrty velkoprofilové svislé zapažené D do 650 mm hl do 30 m hor. IV</t>
  </si>
  <si>
    <t>" Vrty pro piloty - 35 % z délky "</t>
  </si>
  <si>
    <t>" Vrty pro piloty vč. hluchého vrtu - P6 " ((20,0+0,35)*2)*0,35</t>
  </si>
  <si>
    <t>Vrty velkoprofilové svislé zapažené D do 650 mm hl do 30 m hor. V</t>
  </si>
  <si>
    <t>" Vrty pro piloty - 40 % z délky "</t>
  </si>
  <si>
    <t>" Vrty pro piloty vč. hluchého vrtu - P6 " ((20,0+0,35)*2)*0,4</t>
  </si>
  <si>
    <t>Vrty velkoprofilové svislé zapažené D do 1050 mm hl do 10 m hor. III</t>
  </si>
  <si>
    <t>" Vrty pro piloty vč. hluchého vrtu - P4 " ((9,0+0,35)*2)*0,25</t>
  </si>
  <si>
    <t>Vrty velkoprofilové svislé zapažené D do 1050 mm hl do 10 m hor. IV</t>
  </si>
  <si>
    <t>" Vrty pro piloty vč. hluchého vrtu - P4 " ((9,0+0,35)*2)*0,65</t>
  </si>
  <si>
    <t>Vrty velkoprofilové svislé zapažené D do 1050 mm hl do 10 m hor. V</t>
  </si>
  <si>
    <t>" Vrty pro piloty vč. hluchého vrtu - P4 " ((9,0+0,35)*2)*0,1</t>
  </si>
  <si>
    <t>Vrty velkoprofilové svislé zapažené D do 1050 mm hl do 20 m hor. III</t>
  </si>
  <si>
    <t>" Vrty pro piloty vč. hluchého vrtu - P2 " ((12,0+0,35)*8)*0,25</t>
  </si>
  <si>
    <t>" Vrty pro piloty vč. hluchého vrtu - P3 " ((14,0+0,35)*6)*0,25</t>
  </si>
  <si>
    <t>Vrty velkoprofilové svislé zapažené D do 1050 mm hl do 20 m hor. IV</t>
  </si>
  <si>
    <t>" Vrty pro piloty - 45 % z délky "</t>
  </si>
  <si>
    <t>" Vrty pro piloty vč. hluchého vrtu - P2 " ((12,0+0,35)*8)*0,45</t>
  </si>
  <si>
    <t>" Vrty pro piloty vč. hluchého vrtu - P3 " ((14,0+0,35)*6)*0,45</t>
  </si>
  <si>
    <t>Vrty velkoprofilové svislé zapažené D do 1050 mm hl do 20 m hor. V</t>
  </si>
  <si>
    <t>" Vrty pro piloty - 30 % z délky "</t>
  </si>
  <si>
    <t>" Vrty pro piloty vč. hluchého vrtu - P2 " ((12,0+0,35)*8)*0,3</t>
  </si>
  <si>
    <t>" Vrty pro piloty vč. hluchého vrtu - P3 " ((14,0+0,35)*6)*0,3</t>
  </si>
  <si>
    <t>Vrty velkoprofilové svislé zapažené D do 1050 mm hl do 30 m hor. III</t>
  </si>
  <si>
    <t>" Vrty pro piloty vč. hluchého vrtu - P5 " ((20,0+0,35)*4)*0,25</t>
  </si>
  <si>
    <t>Vrty velkoprofilové svislé zapažené D do 1050 mm hl do 30 m hor. IV</t>
  </si>
  <si>
    <t>" Vrty pro piloty vč. hluchého vrtu - P5 " ((20,0+0,35)*4)*0,35</t>
  </si>
  <si>
    <t>Vrty velkoprofilové svislé zapažené D do 1050 mm hl do 30 m hor. V</t>
  </si>
  <si>
    <t>" Vrty pro piloty vč. hluchého vrtu - P5 " ((20,0+0,35)*4)*0,4</t>
  </si>
  <si>
    <t>Zřízení pilot svislých zapažených D do 650 mm hl do 10 m s vytažením pažnic z betonu železového</t>
  </si>
  <si>
    <t>" Zřízení pilot - P1 " (9,0+0,35)*8</t>
  </si>
  <si>
    <t>Zřízení pilot svislých zapažených D do 650 mm hl do 30 m s vytažením pažnic z betonu železového</t>
  </si>
  <si>
    <t>" Zřízení pilot - P6 " (20,0+0,35)*2</t>
  </si>
  <si>
    <t>Zřízení pilot svislých zapažených D do 1250 mm hl do 10 m s vytažením pažnic z betonu železového</t>
  </si>
  <si>
    <t>" Zřízení pilot - P4 " (9,0+0,35)*2</t>
  </si>
  <si>
    <t>Zřízení pilot svislých zapažených D do 1250 mm hl do 20 m s vytažením pažnic z betonu železového</t>
  </si>
  <si>
    <t>" Zřízení pilot - P2 " (12,0+0,35)*8</t>
  </si>
  <si>
    <t>" Zřízení pilot - P3 " (14,0+0,35)*6</t>
  </si>
  <si>
    <t>Zřízení pilot svislých zapažených D do 1250 mm hl do 30 m s vytažením pažnic z betonu železového</t>
  </si>
  <si>
    <t>" Zřízení pilot - P5 " (20,0+0,35)*4</t>
  </si>
  <si>
    <t>58932937 RTO</t>
  </si>
  <si>
    <t>směs pro beton třída C 25/30 - XA2, XF2 - Specifikace dle PD</t>
  </si>
  <si>
    <r>
      <t>" beton pro piloty - P1 " (((0,63/2)*(0,63/2)*</t>
    </r>
    <r>
      <rPr>
        <i/>
        <sz val="8"/>
        <color indexed="12"/>
        <rFont val="Calibri"/>
        <family val="2"/>
        <charset val="238"/>
      </rPr>
      <t>π</t>
    </r>
    <r>
      <rPr>
        <i/>
        <sz val="8"/>
        <color indexed="12"/>
        <rFont val="Arial CE"/>
        <family val="2"/>
        <charset val="238"/>
      </rPr>
      <t>*9,0)*8)*1,05</t>
    </r>
  </si>
  <si>
    <t>" beton pro piloty - P2 " (((0,9/2)*(0,9/2)*π*12,0)*8)*1,05</t>
  </si>
  <si>
    <r>
      <t>" beton pro piloty - P3 " (((0,9/2)*(0,9/2)*</t>
    </r>
    <r>
      <rPr>
        <i/>
        <sz val="8"/>
        <color indexed="12"/>
        <rFont val="Calibri"/>
        <family val="2"/>
        <charset val="238"/>
      </rPr>
      <t>π</t>
    </r>
    <r>
      <rPr>
        <i/>
        <sz val="8"/>
        <color indexed="12"/>
        <rFont val="Arial CE"/>
        <family val="2"/>
        <charset val="238"/>
      </rPr>
      <t>*14,0)*6)*1,05</t>
    </r>
  </si>
  <si>
    <t>" beton pro piloty - P4 " (((0,9/2)*(0,9/2)*π*9,0)*2)*1,05</t>
  </si>
  <si>
    <t>" beton pro piloty - P5 " (((0,9/2)*(0,9/2)*π*20,0)*4)*1,05</t>
  </si>
  <si>
    <t>" beton pro piloty - P6 " (((0,63/2)*(0,63/2)*π*20,0)*2)*1,05</t>
  </si>
  <si>
    <t>" beton pro hlavu pilot - P1 " (((0,63/2)*(0,63/2)*π*0,3)*8)*1,05</t>
  </si>
  <si>
    <t>" beton pro hlavu pilot - P2 " (((0,9/2)*(0,9/2)*π*0,3)*8)*1,05</t>
  </si>
  <si>
    <t>" beton pro hlavu pilot - P3 " (((0,9/2)*(0,9/2)*π*0,3)*6)*1,05</t>
  </si>
  <si>
    <t>" beton pro hlavu pilot - P4 " (((0,9/2)*(0,9/2)*π*0,3)*2)*1,05</t>
  </si>
  <si>
    <t>" beton pro hlavu pilot - P5 " (((0,9/2)*(0,9/2)*π*0,3)*4)*1,05</t>
  </si>
  <si>
    <t>" beton pro hlavu pilot - P6 " (((0,63/2)*(0,63/2)*π*0,3)*2)*1,05</t>
  </si>
  <si>
    <t>Výztuž pilot betonovaných do země ocel z betonářské oceli 10 505(R)</t>
  </si>
  <si>
    <t>" Výztuž pilot 100 kg/m3, hmotnost výztuže včetně ztratného " ((227,35)/1,05)*0,100</t>
  </si>
  <si>
    <t>Odbourání vrchní části znehodnocené výplně pilot D piloty do 650 mm</t>
  </si>
  <si>
    <t>" Odbourání znehodnocené části pilot průměru 630 mm " (10)*0,300</t>
  </si>
  <si>
    <t xml:space="preserve">Odbourání vrchní části znehodnocené výplně pilot D piloty do 1250 mm </t>
  </si>
  <si>
    <t>" Odbourání znehodnocené části pilot průměru 900 mm " (20)*0,300</t>
  </si>
  <si>
    <t>Přesun hmot pro piloty nebo podzemní stěny betonované na místě</t>
  </si>
  <si>
    <t>97899932 SPC</t>
  </si>
  <si>
    <t>Náklady spojené s odvozem a uložením suti - směsný stavební odpad (ŽB, PB, kámen, keramika, PVC a ostatní...)</t>
  </si>
  <si>
    <r>
      <t>" Odvoz zeminy z vrtání pilot - P1 " ((0,63/2)*(0,63/2)*</t>
    </r>
    <r>
      <rPr>
        <sz val="8"/>
        <color indexed="12"/>
        <rFont val="Calibri"/>
        <family val="2"/>
        <charset val="238"/>
      </rPr>
      <t>π</t>
    </r>
    <r>
      <rPr>
        <sz val="8"/>
        <color indexed="12"/>
        <rFont val="Arial CE"/>
        <family val="2"/>
        <charset val="238"/>
      </rPr>
      <t>*(9,0+0,35))*8</t>
    </r>
  </si>
  <si>
    <r>
      <t>" Odvoz zeminy z vrtání pilot - P2 " ((0,9/2)*(0,9/2)*</t>
    </r>
    <r>
      <rPr>
        <sz val="8"/>
        <color indexed="12"/>
        <rFont val="Calibri"/>
        <family val="2"/>
        <charset val="238"/>
      </rPr>
      <t>π</t>
    </r>
    <r>
      <rPr>
        <sz val="8"/>
        <color indexed="12"/>
        <rFont val="Arial CE"/>
        <family val="2"/>
        <charset val="238"/>
      </rPr>
      <t>*(12,0+0,35))*8</t>
    </r>
  </si>
  <si>
    <r>
      <t>" Odvoz zeminy z vrtání pilot - P3 " ((0,9/2)*(0,9/2)*</t>
    </r>
    <r>
      <rPr>
        <sz val="8"/>
        <color indexed="12"/>
        <rFont val="Calibri"/>
        <family val="2"/>
        <charset val="238"/>
      </rPr>
      <t>π</t>
    </r>
    <r>
      <rPr>
        <sz val="8"/>
        <color indexed="12"/>
        <rFont val="Arial CE"/>
        <family val="2"/>
        <charset val="238"/>
      </rPr>
      <t>*(14,0+0,35))*6</t>
    </r>
  </si>
  <si>
    <r>
      <t>" Odvoz zeminy z vrtání pilot - P4 " ((0,9/2)*(0,9/2)*</t>
    </r>
    <r>
      <rPr>
        <sz val="8"/>
        <color indexed="12"/>
        <rFont val="Calibri"/>
        <family val="2"/>
        <charset val="238"/>
      </rPr>
      <t>π</t>
    </r>
    <r>
      <rPr>
        <sz val="8"/>
        <color indexed="12"/>
        <rFont val="Arial CE"/>
        <family val="2"/>
        <charset val="238"/>
      </rPr>
      <t>*(9,0+0,35))*2</t>
    </r>
  </si>
  <si>
    <r>
      <t>" Odvoz zeminy z vrtání pilot - P5 " ((0,9/2)*(0,9/2)*</t>
    </r>
    <r>
      <rPr>
        <sz val="8"/>
        <color indexed="12"/>
        <rFont val="Calibri"/>
        <family val="2"/>
        <charset val="238"/>
      </rPr>
      <t>π</t>
    </r>
    <r>
      <rPr>
        <sz val="8"/>
        <color indexed="12"/>
        <rFont val="Arial CE"/>
        <family val="2"/>
        <charset val="238"/>
      </rPr>
      <t>*(20,0+0,35))*4</t>
    </r>
  </si>
  <si>
    <r>
      <t>" Odvoz zeminy z vrtání pilot - P6 " ((0,63/2)*(0,63/2)*</t>
    </r>
    <r>
      <rPr>
        <sz val="8"/>
        <color indexed="12"/>
        <rFont val="Calibri"/>
        <family val="2"/>
        <charset val="238"/>
      </rPr>
      <t>π</t>
    </r>
    <r>
      <rPr>
        <sz val="8"/>
        <color indexed="12"/>
        <rFont val="Arial CE"/>
        <family val="2"/>
        <charset val="238"/>
      </rPr>
      <t>*(20,0+0,35))*2</t>
    </r>
  </si>
  <si>
    <t>" Podsyp před venkovním schodištěm předsazeným " (2,7*2,75*2)*0,5</t>
  </si>
  <si>
    <t>" 1.PP  - P.01.01,  P.01.02, P.01.04, P.01.06 " 179,5+8,4+75,32+75,32</t>
  </si>
  <si>
    <t xml:space="preserve">" - Keramická dlažba do flexibilního lepidla - tl. 10 mm - 372,4 m2. " </t>
  </si>
  <si>
    <t xml:space="preserve">" - Litý samonivelační cementový potěr (CT-C30-F6) - tl. 80 mm - 372,40 m2. " </t>
  </si>
  <si>
    <r>
      <t xml:space="preserve">" - Podlahová tepelná izolace - deska PIR - </t>
    </r>
    <r>
      <rPr>
        <sz val="8"/>
        <color indexed="12"/>
        <rFont val="Book Antiqua"/>
        <family val="1"/>
        <charset val="238"/>
      </rPr>
      <t>λ</t>
    </r>
    <r>
      <rPr>
        <sz val="8"/>
        <color indexed="12"/>
        <rFont val="Arial CE"/>
        <family val="2"/>
        <charset val="238"/>
      </rPr>
      <t xml:space="preserve"> = 0,026 W/mK - tl. 160 mm - 372,40 m2</t>
    </r>
  </si>
  <si>
    <t>" - Separační PE fólie - 389,32 m2</t>
  </si>
  <si>
    <t>" SDK podhled - v 1. PP " 179,5+8,4+75,32+20,65+75,32+18,47+18,74+17,9</t>
  </si>
  <si>
    <t>" SDK opláštění ZTI v 1. NP " 1,12+4,24*0,71</t>
  </si>
  <si>
    <t>" SDK podhled - v 1. NP " 218,03+14,44+71,24+29,46</t>
  </si>
  <si>
    <t>" Malba SDK podhledů a instalací " 751,60</t>
  </si>
  <si>
    <t>" 1.NP  - P.1.01,  P.1.02, P.1.04, P.1.05 + P.1.06, P.1.07 " (218,03+14,44+71,24+29,46)+(13,37+19,01)</t>
  </si>
  <si>
    <t xml:space="preserve">" - Keramická dlažba do flexibilního lepidla - tl. 10 mm - 402,11 m2. " </t>
  </si>
  <si>
    <t xml:space="preserve">" - Litý samonivelační cementový potěr (CT-C30-F6) - tl. 60 mm - 402,11 m2. " </t>
  </si>
  <si>
    <t>" - Akustická minerální deska pro těžké plovoucí podlahy vč. okrajového pásku, pro zatížení do 300 kg/m2 - tl. 30 mm - 402,11 m2</t>
  </si>
  <si>
    <t>" - Separační PE fólie - 420,39 m2</t>
  </si>
  <si>
    <t>" TI z minerální vlny na keramické zdivo - λ = 0,036 W/mK - tl. 150 mm "</t>
  </si>
  <si>
    <t>" TI z minerální vlny nad keramické zdivo - λ = 0,036 W/mK - tl. 150 mm  "</t>
  </si>
  <si>
    <t>Výplň dilatačních spár z pěnového polystyrénu tl 20 mm</t>
  </si>
  <si>
    <t>Těsnění dilatační spáry betonové konstrukce silikonovým tmelem do pl 4,0 cm2</t>
  </si>
  <si>
    <t>931994132 RTO</t>
  </si>
  <si>
    <t>013</t>
  </si>
  <si>
    <t>973999901 SPC</t>
  </si>
  <si>
    <t>" - Vyčištění podkladu, vyspravení, vyrovnání, odstranění nerovností apod." 338,54+365,55</t>
  </si>
  <si>
    <t>Zdivo jednovrstvé z cihel děrovaných do P10 na maltu M5 tl 240 mm</t>
  </si>
  <si>
    <t>Sádrová stěrka tl.do 3 mm vnitřních pilířů nebo sloupů</t>
  </si>
  <si>
    <t>" Sádrová stěrka sloupů v tl. do 3 mm "</t>
  </si>
  <si>
    <t>Polymercementový spojovací můstek vnitřních pilířů nebo sloupů nanášený ručně</t>
  </si>
  <si>
    <t>Dvojnásobné bílé malby ze směsí za mokra výborně otěruvzdorných v místnostech výšky do 3,80 m - vhodná i na SDK konstrukce</t>
  </si>
  <si>
    <t>" Stěrka betonových základových prahů tvořených z klasického ŽB - 1. PP " 1,2*(7,4*2)+0,6*44,2</t>
  </si>
  <si>
    <t>" Mlaba stěrkovaných prahů - 1. PP " 44,28</t>
  </si>
  <si>
    <t>" Penetrace pod omítku betonových sloupů - 1. PP " 97,28</t>
  </si>
  <si>
    <t>" Stěrka betonových sloupů v 1. PP " 97,28</t>
  </si>
  <si>
    <t>" Stěrka betonových sloupů v 1. NP " 83,16</t>
  </si>
  <si>
    <t>" Penetrace pod omítku betonových sloupů - 1. NP " 83,16</t>
  </si>
  <si>
    <t>" Malba stěrkovaných vnitřních sloupů "</t>
  </si>
  <si>
    <t>Polymercementový spojovací můstek vnitřních stěn nanášený ručně</t>
  </si>
  <si>
    <t>Sádrová stěrka tl.do 3 mm vnitřních stěn</t>
  </si>
  <si>
    <t>" Zateplení podlahy v 1. PP PIR izolací tl. 160 mm, λ = 0,026 W/mK - na základobou desku "</t>
  </si>
  <si>
    <t>" - Spuštěný podhled - dřevoštěpkové desky zavěšené na ocelové nosné konstrukci - tl. 20 mm - 125,11 m2</t>
  </si>
  <si>
    <t>SDK podhled desky 2xA 12,5 bez TI dvouvrstvá dřevěná spodní kce</t>
  </si>
  <si>
    <t>790999101 SPC</t>
  </si>
  <si>
    <t>790999102 SPC</t>
  </si>
  <si>
    <t>790999103 SPC</t>
  </si>
  <si>
    <t>D+M Ostatní práce a dodávky jinde neuvedené - Specifikace dle PD</t>
  </si>
  <si>
    <t>998</t>
  </si>
  <si>
    <t>HSV prvky a konstrukce jinde neuvedené</t>
  </si>
  <si>
    <t>451999102 SPC</t>
  </si>
  <si>
    <t>D+M Smykové trny - Specifikace dle PD</t>
  </si>
  <si>
    <t>D+M Monilitická teracová podesta tl. 80 mm - Specifikace dle PD</t>
  </si>
  <si>
    <t>" Vnitřní lešení 1. PP " 179,5+8,4+15,53+75,32+75,32+18,47+18,74+17,9</t>
  </si>
  <si>
    <t>" Čistý úklid 1. PP " 179,5+8,4+15,53+75,32+75,32+18,47+18,74+17,9</t>
  </si>
  <si>
    <t>" Vnitřní lešení 1. NP " 218,03+14,44+15,02+71,24+29,46+13,37+19,01</t>
  </si>
  <si>
    <t>" Čistý úklid 1. NP " 218,03+14,44+15,02+71,24+29,46+13,37+19,01</t>
  </si>
  <si>
    <t>D+M Zabetonování ocelových nosníků do vysekaných kapes zdiva - Specifikace dle PD</t>
  </si>
  <si>
    <t>998999101 SPC</t>
  </si>
  <si>
    <t>" V ceně veškerý spojovací materiál, nosné profily, těsnění, skleněná výplň, veškeré lišty, zesílující prvky, výplně otvorů,  apod. "</t>
  </si>
  <si>
    <t>Dočasné zajištění potrubí ocelového nebo litinového DN do 200</t>
  </si>
  <si>
    <t>14</t>
  </si>
  <si>
    <t>17</t>
  </si>
  <si>
    <t>18</t>
  </si>
  <si>
    <t>119a</t>
  </si>
  <si>
    <t>119b</t>
  </si>
  <si>
    <t>119c</t>
  </si>
  <si>
    <t>119d</t>
  </si>
  <si>
    <t>122</t>
  </si>
  <si>
    <t>123</t>
  </si>
  <si>
    <t>125a</t>
  </si>
  <si>
    <t>125b</t>
  </si>
  <si>
    <t>125c</t>
  </si>
  <si>
    <t>129</t>
  </si>
  <si>
    <t>129a</t>
  </si>
  <si>
    <t>129b</t>
  </si>
  <si>
    <t>130</t>
  </si>
  <si>
    <t>130a</t>
  </si>
  <si>
    <t>130b</t>
  </si>
  <si>
    <t>134a</t>
  </si>
  <si>
    <t>134b</t>
  </si>
  <si>
    <t>134c</t>
  </si>
  <si>
    <t>135a</t>
  </si>
  <si>
    <t>135b</t>
  </si>
  <si>
    <t>136a</t>
  </si>
  <si>
    <t>136b</t>
  </si>
  <si>
    <t>137a</t>
  </si>
  <si>
    <t>137b</t>
  </si>
  <si>
    <t>138a</t>
  </si>
  <si>
    <t>138b</t>
  </si>
  <si>
    <t>139a</t>
  </si>
  <si>
    <t>139b</t>
  </si>
  <si>
    <t>140a</t>
  </si>
  <si>
    <t>140b</t>
  </si>
  <si>
    <t>160a</t>
  </si>
  <si>
    <t>160b</t>
  </si>
  <si>
    <t>160c</t>
  </si>
  <si>
    <t>160d</t>
  </si>
  <si>
    <t>" Lepivost 50 %." (14,59)*0,5</t>
  </si>
  <si>
    <t>975999901 SPC</t>
  </si>
  <si>
    <t>" Vyspárování, doplnění kamene, šetrné omytí, ruční odkop v blízkosti bastionu, zakonzervování, impregnace, případně další úpravy specifikované památkovou péčí. "</t>
  </si>
  <si>
    <t>D+M Odborné iošetření bastionu - Specifikace dle PD</t>
  </si>
  <si>
    <t>120a</t>
  </si>
  <si>
    <t>120b</t>
  </si>
  <si>
    <t>120c</t>
  </si>
  <si>
    <t>120d</t>
  </si>
  <si>
    <t>120e</t>
  </si>
  <si>
    <t>124</t>
  </si>
  <si>
    <t>126</t>
  </si>
  <si>
    <t>126a</t>
  </si>
  <si>
    <t>126b</t>
  </si>
  <si>
    <t>129c</t>
  </si>
  <si>
    <t>129d</t>
  </si>
  <si>
    <t>129e</t>
  </si>
  <si>
    <t>129f</t>
  </si>
  <si>
    <t>129g</t>
  </si>
  <si>
    <t>131a</t>
  </si>
  <si>
    <t>131</t>
  </si>
  <si>
    <t>131b</t>
  </si>
  <si>
    <t>135c</t>
  </si>
  <si>
    <t>138c</t>
  </si>
  <si>
    <t>138d</t>
  </si>
  <si>
    <t>140c</t>
  </si>
  <si>
    <t>141a</t>
  </si>
  <si>
    <t>141b</t>
  </si>
  <si>
    <t>161a</t>
  </si>
  <si>
    <t>161b</t>
  </si>
  <si>
    <t>161c</t>
  </si>
  <si>
    <t>161d</t>
  </si>
  <si>
    <t>" V ceně přesuny hmot a suti, odvoz zeminy, a další nutné prvky a úpravy spojené s provedením prací "</t>
  </si>
  <si>
    <t>VÝKAZ VÝMĚR</t>
  </si>
  <si>
    <t>D.1.1. ASŘ - PŘÍSTAVBA</t>
  </si>
</sst>
</file>

<file path=xl/styles.xml><?xml version="1.0" encoding="utf-8"?>
<styleSheet xmlns="http://schemas.openxmlformats.org/spreadsheetml/2006/main">
  <numFmts count="5"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###;\-####"/>
  </numFmts>
  <fonts count="72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b/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sz val="12"/>
      <color theme="1"/>
      <name val="Calibri"/>
      <family val="2"/>
      <charset val="238"/>
      <scheme val="minor"/>
    </font>
    <font>
      <sz val="8"/>
      <color indexed="12"/>
      <name val="MS Sans Serif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8"/>
      <color rgb="FF0000FF"/>
      <name val="Arial CE"/>
      <family val="2"/>
      <charset val="238"/>
    </font>
    <font>
      <sz val="11"/>
      <color rgb="FFFF0000"/>
      <name val="Calibri"/>
      <family val="2"/>
      <scheme val="minor"/>
    </font>
    <font>
      <sz val="8"/>
      <color indexed="10"/>
      <name val="MS Sans Serif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color indexed="21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8"/>
      <color indexed="12"/>
      <name val="Arial CE"/>
      <family val="2"/>
    </font>
    <font>
      <sz val="8"/>
      <name val="Arial CE"/>
      <family val="2"/>
    </font>
    <font>
      <i/>
      <sz val="8"/>
      <name val="MS Sans Serif"/>
      <family val="2"/>
      <charset val="238"/>
    </font>
    <font>
      <b/>
      <sz val="10"/>
      <name val="MS Sans Serif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0"/>
      <color rgb="FFFF0000"/>
      <name val="MS Sans Serif"/>
      <family val="2"/>
      <charset val="238"/>
    </font>
    <font>
      <sz val="8"/>
      <color rgb="FFFF0000"/>
      <name val="MS Sans Serif"/>
      <family val="2"/>
      <charset val="238"/>
    </font>
    <font>
      <b/>
      <sz val="9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MS Sans Serif"/>
      <family val="2"/>
      <charset val="238"/>
    </font>
    <font>
      <b/>
      <sz val="11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4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rgb="FFFF0000"/>
      <name val="Calibri"/>
      <family val="2"/>
      <charset val="238"/>
      <scheme val="minor"/>
    </font>
    <font>
      <b/>
      <i/>
      <sz val="8"/>
      <name val="Arial CE"/>
      <family val="2"/>
      <charset val="238"/>
    </font>
    <font>
      <i/>
      <sz val="8"/>
      <color indexed="18"/>
      <name val="Arial CE"/>
      <family val="2"/>
      <charset val="238"/>
    </font>
    <font>
      <i/>
      <sz val="8"/>
      <color indexed="10"/>
      <name val="MS Sans Serif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sz val="12"/>
      <color rgb="FFFF0000"/>
      <name val="Arial CE"/>
      <family val="2"/>
      <charset val="238"/>
    </font>
    <font>
      <sz val="12"/>
      <color rgb="FFFF0000"/>
      <name val="Calibri"/>
      <family val="2"/>
      <scheme val="minor"/>
    </font>
    <font>
      <b/>
      <sz val="11"/>
      <color rgb="FFFF0000"/>
      <name val="Arial CE"/>
      <family val="2"/>
      <charset val="238"/>
    </font>
    <font>
      <i/>
      <sz val="11"/>
      <color theme="1"/>
      <name val="Calibri"/>
      <family val="2"/>
      <scheme val="minor"/>
    </font>
    <font>
      <b/>
      <sz val="11"/>
      <color rgb="FFFF0000"/>
      <name val="Arial CE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8"/>
      <color indexed="12"/>
      <name val="Book Antiqua"/>
      <family val="1"/>
      <charset val="238"/>
    </font>
    <font>
      <sz val="8"/>
      <color indexed="12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8"/>
      <color rgb="FF0000FF"/>
      <name val="Arial CE"/>
      <family val="2"/>
      <charset val="238"/>
    </font>
    <font>
      <i/>
      <sz val="8"/>
      <name val="Arial CE"/>
      <family val="2"/>
    </font>
    <font>
      <i/>
      <sz val="8"/>
      <color indexed="12"/>
      <name val="Calibri"/>
      <family val="2"/>
      <charset val="238"/>
    </font>
    <font>
      <i/>
      <sz val="8"/>
      <color rgb="FF0000FF"/>
      <name val="Arial CE"/>
      <family val="2"/>
      <charset val="238"/>
    </font>
    <font>
      <sz val="8"/>
      <color indexed="1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hair">
        <color indexed="8"/>
      </top>
      <bottom/>
      <diagonal/>
    </border>
  </borders>
  <cellStyleXfs count="20">
    <xf numFmtId="0" fontId="0" fillId="0" borderId="0"/>
    <xf numFmtId="0" fontId="12" fillId="0" borderId="0"/>
    <xf numFmtId="0" fontId="9" fillId="0" borderId="0" applyAlignment="0">
      <alignment vertical="top" wrapText="1"/>
      <protection locked="0"/>
    </xf>
    <xf numFmtId="0" fontId="14" fillId="0" borderId="0" applyFill="0" applyBorder="0" applyProtection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4" fillId="0" borderId="0"/>
    <xf numFmtId="0" fontId="9" fillId="0" borderId="0" applyAlignment="0">
      <alignment vertical="top" wrapText="1"/>
      <protection locked="0"/>
    </xf>
    <xf numFmtId="0" fontId="16" fillId="0" borderId="0"/>
    <xf numFmtId="0" fontId="17" fillId="0" borderId="0" applyFont="0" applyFill="0" applyBorder="0" applyAlignment="0" applyProtection="0"/>
    <xf numFmtId="0" fontId="15" fillId="0" borderId="0"/>
    <xf numFmtId="0" fontId="18" fillId="0" borderId="0"/>
    <xf numFmtId="0" fontId="12" fillId="0" borderId="0"/>
    <xf numFmtId="0" fontId="15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51" fillId="0" borderId="0" applyNumberFormat="0" applyFill="0" applyBorder="0" applyAlignment="0" applyProtection="0"/>
  </cellStyleXfs>
  <cellXfs count="321">
    <xf numFmtId="0" fontId="0" fillId="0" borderId="0" xfId="0"/>
    <xf numFmtId="0" fontId="2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2" borderId="1" xfId="0" applyFont="1" applyFill="1" applyBorder="1" applyAlignment="1" applyProtection="1">
      <alignment horizontal="center" vertical="center" wrapText="1"/>
    </xf>
    <xf numFmtId="166" fontId="23" fillId="3" borderId="2" xfId="0" applyNumberFormat="1" applyFont="1" applyFill="1" applyBorder="1" applyAlignment="1" applyProtection="1">
      <alignment horizontal="right"/>
      <protection locked="0"/>
    </xf>
    <xf numFmtId="2" fontId="7" fillId="3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right"/>
      <protection locked="0"/>
    </xf>
    <xf numFmtId="0" fontId="1" fillId="0" borderId="0" xfId="2" applyFont="1" applyFill="1" applyAlignment="1" applyProtection="1">
      <alignment horizontal="left"/>
    </xf>
    <xf numFmtId="0" fontId="2" fillId="0" borderId="0" xfId="2" applyFont="1" applyFill="1" applyAlignment="1" applyProtection="1">
      <alignment horizontal="left"/>
    </xf>
    <xf numFmtId="0" fontId="4" fillId="0" borderId="6" xfId="2" applyFont="1" applyFill="1" applyBorder="1" applyAlignment="1" applyProtection="1">
      <alignment horizontal="center" vertical="center" wrapText="1"/>
    </xf>
    <xf numFmtId="0" fontId="4" fillId="0" borderId="7" xfId="2" applyFont="1" applyFill="1" applyBorder="1" applyAlignment="1" applyProtection="1">
      <alignment horizontal="center" vertical="center" wrapText="1"/>
    </xf>
    <xf numFmtId="0" fontId="4" fillId="0" borderId="8" xfId="2" applyFont="1" applyFill="1" applyBorder="1" applyAlignment="1" applyProtection="1">
      <alignment horizontal="center" vertical="center" wrapText="1"/>
    </xf>
    <xf numFmtId="168" fontId="4" fillId="0" borderId="9" xfId="2" applyNumberFormat="1" applyFont="1" applyFill="1" applyBorder="1" applyAlignment="1" applyProtection="1">
      <alignment horizontal="center" vertical="center"/>
    </xf>
    <xf numFmtId="168" fontId="4" fillId="0" borderId="10" xfId="2" applyNumberFormat="1" applyFont="1" applyFill="1" applyBorder="1" applyAlignment="1" applyProtection="1">
      <alignment horizontal="center" vertical="center"/>
    </xf>
    <xf numFmtId="168" fontId="4" fillId="0" borderId="11" xfId="2" applyNumberFormat="1" applyFont="1" applyFill="1" applyBorder="1" applyAlignment="1" applyProtection="1">
      <alignment horizontal="center" vertical="center"/>
    </xf>
    <xf numFmtId="0" fontId="9" fillId="0" borderId="12" xfId="2" applyFont="1" applyFill="1" applyBorder="1" applyAlignment="1" applyProtection="1">
      <alignment horizontal="left"/>
    </xf>
    <xf numFmtId="0" fontId="9" fillId="0" borderId="13" xfId="2" applyFont="1" applyFill="1" applyBorder="1" applyAlignment="1" applyProtection="1">
      <alignment horizontal="left"/>
    </xf>
    <xf numFmtId="0" fontId="26" fillId="0" borderId="2" xfId="2" applyFont="1" applyBorder="1" applyAlignment="1" applyProtection="1">
      <alignment horizontal="center" vertical="center"/>
    </xf>
    <xf numFmtId="0" fontId="26" fillId="0" borderId="2" xfId="2" applyFont="1" applyBorder="1" applyAlignment="1" applyProtection="1">
      <alignment horizontal="left" vertical="center"/>
    </xf>
    <xf numFmtId="166" fontId="26" fillId="0" borderId="2" xfId="2" applyNumberFormat="1" applyFont="1" applyBorder="1" applyAlignment="1" applyProtection="1">
      <alignment horizontal="right" vertical="center"/>
    </xf>
    <xf numFmtId="0" fontId="27" fillId="0" borderId="2" xfId="2" applyFont="1" applyBorder="1" applyAlignment="1" applyProtection="1">
      <alignment horizontal="center" vertical="center"/>
    </xf>
    <xf numFmtId="0" fontId="27" fillId="0" borderId="2" xfId="2" applyFont="1" applyBorder="1" applyAlignment="1" applyProtection="1">
      <alignment horizontal="left" vertical="center"/>
    </xf>
    <xf numFmtId="166" fontId="27" fillId="0" borderId="2" xfId="2" applyNumberFormat="1" applyFont="1" applyBorder="1" applyAlignment="1" applyProtection="1">
      <alignment horizontal="right" vertical="center"/>
    </xf>
    <xf numFmtId="166" fontId="27" fillId="2" borderId="2" xfId="2" applyNumberFormat="1" applyFont="1" applyFill="1" applyBorder="1" applyAlignment="1" applyProtection="1">
      <alignment horizontal="right" vertical="center"/>
    </xf>
    <xf numFmtId="0" fontId="28" fillId="0" borderId="2" xfId="2" applyFont="1" applyBorder="1" applyAlignment="1" applyProtection="1">
      <alignment horizontal="center" vertical="center"/>
    </xf>
    <xf numFmtId="0" fontId="28" fillId="0" borderId="2" xfId="2" applyFont="1" applyBorder="1" applyAlignment="1" applyProtection="1">
      <alignment horizontal="left" vertical="center"/>
    </xf>
    <xf numFmtId="166" fontId="28" fillId="0" borderId="2" xfId="2" applyNumberFormat="1" applyFont="1" applyBorder="1" applyAlignment="1" applyProtection="1">
      <alignment horizontal="right" vertical="center"/>
    </xf>
    <xf numFmtId="0" fontId="29" fillId="0" borderId="2" xfId="2" applyFont="1" applyBorder="1" applyAlignment="1" applyProtection="1">
      <alignment horizontal="left" vertical="center"/>
    </xf>
    <xf numFmtId="0" fontId="30" fillId="0" borderId="2" xfId="2" applyFont="1" applyBorder="1" applyAlignment="1" applyProtection="1">
      <alignment horizontal="left" vertical="center"/>
    </xf>
    <xf numFmtId="166" fontId="30" fillId="0" borderId="2" xfId="2" applyNumberFormat="1" applyFont="1" applyBorder="1" applyAlignment="1" applyProtection="1">
      <alignment horizontal="right" vertical="center"/>
    </xf>
    <xf numFmtId="0" fontId="29" fillId="0" borderId="14" xfId="2" applyFont="1" applyBorder="1" applyAlignment="1" applyProtection="1">
      <alignment horizontal="left" vertical="center"/>
    </xf>
    <xf numFmtId="166" fontId="30" fillId="0" borderId="14" xfId="2" applyNumberFormat="1" applyFont="1" applyBorder="1" applyAlignment="1" applyProtection="1">
      <alignment horizontal="right" vertical="center"/>
    </xf>
    <xf numFmtId="166" fontId="7" fillId="3" borderId="2" xfId="0" applyNumberFormat="1" applyFont="1" applyFill="1" applyBorder="1" applyAlignment="1" applyProtection="1">
      <alignment horizontal="right"/>
      <protection locked="0"/>
    </xf>
    <xf numFmtId="167" fontId="4" fillId="0" borderId="2" xfId="0" applyNumberFormat="1" applyFont="1" applyFill="1" applyBorder="1" applyAlignment="1" applyProtection="1">
      <alignment horizontal="right"/>
      <protection locked="0"/>
    </xf>
    <xf numFmtId="0" fontId="43" fillId="2" borderId="0" xfId="0" applyFont="1" applyFill="1" applyAlignment="1" applyProtection="1">
      <alignment horizontal="center" vertical="center"/>
    </xf>
    <xf numFmtId="2" fontId="23" fillId="3" borderId="2" xfId="0" applyNumberFormat="1" applyFont="1" applyFill="1" applyBorder="1" applyAlignment="1" applyProtection="1">
      <alignment horizontal="right"/>
      <protection locked="0"/>
    </xf>
    <xf numFmtId="166" fontId="21" fillId="0" borderId="2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left" wrapText="1"/>
    </xf>
    <xf numFmtId="0" fontId="60" fillId="0" borderId="0" xfId="0" applyFont="1" applyFill="1" applyAlignment="1" applyProtection="1">
      <alignment horizontal="left" vertical="center"/>
    </xf>
    <xf numFmtId="0" fontId="58" fillId="0" borderId="0" xfId="0" applyFont="1" applyFill="1" applyAlignment="1" applyProtection="1">
      <alignment horizontal="left" vertical="center"/>
    </xf>
    <xf numFmtId="164" fontId="4" fillId="0" borderId="2" xfId="0" applyNumberFormat="1" applyFont="1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left" wrapText="1"/>
    </xf>
    <xf numFmtId="166" fontId="4" fillId="0" borderId="2" xfId="0" applyNumberFormat="1" applyFont="1" applyFill="1" applyBorder="1" applyAlignment="1" applyProtection="1">
      <alignment horizontal="right"/>
    </xf>
    <xf numFmtId="166" fontId="4" fillId="0" borderId="2" xfId="0" applyNumberFormat="1" applyFont="1" applyFill="1" applyBorder="1" applyAlignment="1" applyProtection="1">
      <alignment horizontal="center"/>
    </xf>
    <xf numFmtId="164" fontId="4" fillId="0" borderId="2" xfId="2" applyNumberFormat="1" applyFont="1" applyFill="1" applyBorder="1" applyAlignment="1" applyProtection="1">
      <alignment horizontal="right"/>
    </xf>
    <xf numFmtId="2" fontId="4" fillId="0" borderId="2" xfId="0" applyNumberFormat="1" applyFont="1" applyFill="1" applyBorder="1" applyAlignment="1" applyProtection="1">
      <alignment horizontal="right"/>
    </xf>
    <xf numFmtId="49" fontId="4" fillId="0" borderId="2" xfId="0" applyNumberFormat="1" applyFont="1" applyFill="1" applyBorder="1" applyAlignment="1" applyProtection="1">
      <alignment horizontal="left" wrapText="1"/>
    </xf>
    <xf numFmtId="2" fontId="7" fillId="0" borderId="2" xfId="0" applyNumberFormat="1" applyFont="1" applyFill="1" applyBorder="1" applyAlignment="1" applyProtection="1">
      <alignment horizontal="right"/>
    </xf>
    <xf numFmtId="0" fontId="0" fillId="0" borderId="2" xfId="0" applyFill="1" applyBorder="1" applyAlignment="1" applyProtection="1">
      <alignment vertical="top"/>
    </xf>
    <xf numFmtId="0" fontId="4" fillId="2" borderId="2" xfId="0" applyFont="1" applyFill="1" applyBorder="1" applyAlignment="1" applyProtection="1">
      <alignment horizontal="left" wrapText="1"/>
    </xf>
    <xf numFmtId="0" fontId="66" fillId="0" borderId="2" xfId="0" applyFont="1" applyFill="1" applyBorder="1" applyAlignment="1" applyProtection="1">
      <alignment horizontal="left" vertical="center"/>
    </xf>
    <xf numFmtId="0" fontId="66" fillId="0" borderId="0" xfId="0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wrapText="1"/>
    </xf>
    <xf numFmtId="0" fontId="9" fillId="0" borderId="0" xfId="2" applyAlignment="1" applyProtection="1">
      <alignment vertical="top"/>
    </xf>
    <xf numFmtId="0" fontId="0" fillId="0" borderId="0" xfId="0" applyProtection="1"/>
    <xf numFmtId="0" fontId="0" fillId="0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51" fillId="0" borderId="0" xfId="19" applyFill="1" applyProtection="1"/>
    <xf numFmtId="0" fontId="0" fillId="0" borderId="0" xfId="0" applyFill="1" applyProtection="1"/>
    <xf numFmtId="0" fontId="0" fillId="2" borderId="0" xfId="0" applyFill="1" applyAlignment="1" applyProtection="1">
      <alignment horizontal="left" vertical="top"/>
    </xf>
    <xf numFmtId="164" fontId="6" fillId="2" borderId="0" xfId="0" applyNumberFormat="1" applyFont="1" applyFill="1" applyAlignment="1" applyProtection="1">
      <alignment horizontal="right"/>
    </xf>
    <xf numFmtId="0" fontId="6" fillId="2" borderId="0" xfId="0" applyFont="1" applyFill="1" applyAlignment="1" applyProtection="1">
      <alignment horizontal="left" wrapText="1"/>
    </xf>
    <xf numFmtId="165" fontId="6" fillId="2" borderId="0" xfId="0" applyNumberFormat="1" applyFont="1" applyFill="1" applyAlignment="1" applyProtection="1">
      <alignment horizontal="right"/>
    </xf>
    <xf numFmtId="166" fontId="6" fillId="2" borderId="0" xfId="0" applyNumberFormat="1" applyFont="1" applyFill="1" applyAlignment="1" applyProtection="1">
      <alignment horizontal="right"/>
    </xf>
    <xf numFmtId="0" fontId="46" fillId="0" borderId="0" xfId="0" applyFont="1" applyFill="1" applyAlignment="1" applyProtection="1">
      <alignment horizontal="left" vertical="top"/>
    </xf>
    <xf numFmtId="164" fontId="3" fillId="2" borderId="2" xfId="0" applyNumberFormat="1" applyFont="1" applyFill="1" applyBorder="1" applyAlignment="1" applyProtection="1">
      <alignment horizontal="right"/>
    </xf>
    <xf numFmtId="0" fontId="3" fillId="2" borderId="2" xfId="0" applyFont="1" applyFill="1" applyBorder="1" applyAlignment="1" applyProtection="1">
      <alignment horizontal="left" wrapText="1"/>
    </xf>
    <xf numFmtId="165" fontId="3" fillId="2" borderId="2" xfId="0" applyNumberFormat="1" applyFont="1" applyFill="1" applyBorder="1" applyAlignment="1" applyProtection="1">
      <alignment horizontal="right"/>
    </xf>
    <xf numFmtId="166" fontId="3" fillId="2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horizontal="left" vertical="top"/>
    </xf>
    <xf numFmtId="164" fontId="4" fillId="2" borderId="2" xfId="0" applyNumberFormat="1" applyFont="1" applyFill="1" applyBorder="1" applyAlignment="1" applyProtection="1">
      <alignment horizontal="right"/>
    </xf>
    <xf numFmtId="2" fontId="4" fillId="2" borderId="2" xfId="0" applyNumberFormat="1" applyFont="1" applyFill="1" applyBorder="1" applyAlignment="1" applyProtection="1">
      <alignment horizontal="right" wrapText="1"/>
    </xf>
    <xf numFmtId="166" fontId="4" fillId="2" borderId="2" xfId="0" applyNumberFormat="1" applyFont="1" applyFill="1" applyBorder="1" applyAlignment="1" applyProtection="1">
      <alignment horizontal="right"/>
    </xf>
    <xf numFmtId="166" fontId="4" fillId="2" borderId="2" xfId="0" applyNumberFormat="1" applyFont="1" applyFill="1" applyBorder="1" applyAlignment="1" applyProtection="1">
      <alignment horizontal="center"/>
    </xf>
    <xf numFmtId="166" fontId="0" fillId="0" borderId="0" xfId="0" applyNumberFormat="1" applyFill="1" applyProtection="1"/>
    <xf numFmtId="2" fontId="4" fillId="2" borderId="2" xfId="0" applyNumberFormat="1" applyFont="1" applyFill="1" applyBorder="1" applyAlignment="1" applyProtection="1"/>
    <xf numFmtId="0" fontId="35" fillId="0" borderId="0" xfId="0" applyFont="1" applyFill="1" applyAlignment="1" applyProtection="1">
      <alignment horizontal="left" vertical="center"/>
    </xf>
    <xf numFmtId="49" fontId="4" fillId="0" borderId="2" xfId="0" applyNumberFormat="1" applyFont="1" applyFill="1" applyBorder="1" applyAlignment="1" applyProtection="1">
      <alignment horizontal="right" wrapText="1"/>
    </xf>
    <xf numFmtId="0" fontId="23" fillId="0" borderId="2" xfId="0" applyFont="1" applyFill="1" applyBorder="1" applyAlignment="1" applyProtection="1">
      <alignment horizontal="left" wrapText="1"/>
    </xf>
    <xf numFmtId="0" fontId="0" fillId="0" borderId="0" xfId="0" applyFill="1" applyAlignment="1" applyProtection="1">
      <alignment vertical="top"/>
    </xf>
    <xf numFmtId="1" fontId="4" fillId="0" borderId="2" xfId="0" applyNumberFormat="1" applyFont="1" applyFill="1" applyBorder="1" applyAlignment="1" applyProtection="1">
      <alignment horizontal="right" wrapText="1"/>
    </xf>
    <xf numFmtId="2" fontId="0" fillId="0" borderId="0" xfId="0" applyNumberFormat="1" applyFill="1" applyProtection="1"/>
    <xf numFmtId="2" fontId="0" fillId="0" borderId="0" xfId="0" applyNumberFormat="1" applyFill="1" applyAlignment="1" applyProtection="1">
      <alignment horizontal="left" vertical="top"/>
    </xf>
    <xf numFmtId="0" fontId="39" fillId="0" borderId="2" xfId="0" applyFont="1" applyFill="1" applyBorder="1" applyAlignment="1" applyProtection="1">
      <alignment horizontal="left" wrapText="1"/>
    </xf>
    <xf numFmtId="166" fontId="39" fillId="0" borderId="2" xfId="0" applyNumberFormat="1" applyFont="1" applyFill="1" applyBorder="1" applyAlignment="1" applyProtection="1">
      <alignment horizontal="right"/>
    </xf>
    <xf numFmtId="0" fontId="0" fillId="0" borderId="0" xfId="0" applyFill="1" applyBorder="1" applyAlignment="1" applyProtection="1">
      <alignment horizontal="left" vertical="top"/>
    </xf>
    <xf numFmtId="2" fontId="0" fillId="0" borderId="0" xfId="0" applyNumberFormat="1" applyFill="1" applyAlignment="1" applyProtection="1">
      <alignment vertical="top"/>
    </xf>
    <xf numFmtId="14" fontId="0" fillId="0" borderId="0" xfId="0" applyNumberFormat="1" applyFill="1" applyAlignment="1" applyProtection="1">
      <alignment vertical="top"/>
    </xf>
    <xf numFmtId="20" fontId="0" fillId="0" borderId="0" xfId="0" applyNumberFormat="1" applyFill="1" applyAlignment="1" applyProtection="1">
      <alignment vertical="top"/>
    </xf>
    <xf numFmtId="0" fontId="45" fillId="0" borderId="0" xfId="0" applyFont="1" applyFill="1" applyAlignment="1" applyProtection="1">
      <alignment vertical="center"/>
    </xf>
    <xf numFmtId="0" fontId="40" fillId="0" borderId="0" xfId="0" applyFont="1" applyFill="1" applyAlignment="1" applyProtection="1">
      <alignment vertical="center"/>
    </xf>
    <xf numFmtId="2" fontId="4" fillId="0" borderId="2" xfId="0" applyNumberFormat="1" applyFont="1" applyFill="1" applyBorder="1" applyAlignment="1" applyProtection="1">
      <alignment horizontal="right" wrapText="1"/>
    </xf>
    <xf numFmtId="0" fontId="0" fillId="0" borderId="0" xfId="0" applyFill="1" applyAlignment="1" applyProtection="1">
      <alignment horizontal="right" vertical="top"/>
    </xf>
    <xf numFmtId="2" fontId="4" fillId="0" borderId="2" xfId="0" applyNumberFormat="1" applyFont="1" applyFill="1" applyBorder="1" applyAlignment="1" applyProtection="1">
      <alignment horizontal="center"/>
    </xf>
    <xf numFmtId="164" fontId="21" fillId="0" borderId="2" xfId="0" applyNumberFormat="1" applyFont="1" applyFill="1" applyBorder="1" applyAlignment="1" applyProtection="1">
      <alignment horizontal="right"/>
    </xf>
    <xf numFmtId="0" fontId="21" fillId="0" borderId="2" xfId="0" applyFont="1" applyFill="1" applyBorder="1" applyAlignment="1" applyProtection="1">
      <alignment horizontal="left" wrapText="1"/>
    </xf>
    <xf numFmtId="2" fontId="21" fillId="0" borderId="2" xfId="0" applyNumberFormat="1" applyFont="1" applyFill="1" applyBorder="1" applyAlignment="1" applyProtection="1">
      <alignment horizontal="right" wrapText="1"/>
    </xf>
    <xf numFmtId="166" fontId="21" fillId="0" borderId="2" xfId="0" applyNumberFormat="1" applyFont="1" applyFill="1" applyBorder="1" applyAlignment="1" applyProtection="1">
      <alignment horizontal="right"/>
    </xf>
    <xf numFmtId="166" fontId="21" fillId="0" borderId="2" xfId="0" applyNumberFormat="1" applyFont="1" applyFill="1" applyBorder="1" applyAlignment="1" applyProtection="1">
      <alignment horizontal="center"/>
    </xf>
    <xf numFmtId="164" fontId="56" fillId="0" borderId="2" xfId="0" applyNumberFormat="1" applyFont="1" applyFill="1" applyBorder="1" applyAlignment="1" applyProtection="1">
      <alignment horizontal="right"/>
    </xf>
    <xf numFmtId="0" fontId="56" fillId="0" borderId="2" xfId="0" applyFont="1" applyFill="1" applyBorder="1" applyAlignment="1" applyProtection="1">
      <alignment horizontal="left" wrapText="1"/>
    </xf>
    <xf numFmtId="0" fontId="22" fillId="0" borderId="2" xfId="0" applyFont="1" applyFill="1" applyBorder="1" applyAlignment="1" applyProtection="1">
      <alignment horizontal="left" wrapText="1"/>
    </xf>
    <xf numFmtId="2" fontId="57" fillId="0" borderId="2" xfId="0" applyNumberFormat="1" applyFont="1" applyFill="1" applyBorder="1" applyAlignment="1" applyProtection="1">
      <alignment horizontal="right"/>
    </xf>
    <xf numFmtId="166" fontId="56" fillId="0" borderId="2" xfId="0" applyNumberFormat="1" applyFont="1" applyFill="1" applyBorder="1" applyAlignment="1" applyProtection="1">
      <alignment horizontal="right"/>
    </xf>
    <xf numFmtId="166" fontId="56" fillId="0" borderId="2" xfId="0" applyNumberFormat="1" applyFont="1" applyFill="1" applyBorder="1" applyAlignment="1" applyProtection="1">
      <alignment horizontal="center"/>
    </xf>
    <xf numFmtId="167" fontId="0" fillId="0" borderId="0" xfId="0" applyNumberFormat="1" applyFill="1" applyProtection="1"/>
    <xf numFmtId="164" fontId="3" fillId="0" borderId="2" xfId="0" applyNumberFormat="1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left" wrapText="1"/>
    </xf>
    <xf numFmtId="2" fontId="3" fillId="0" borderId="2" xfId="0" applyNumberFormat="1" applyFont="1" applyFill="1" applyBorder="1" applyAlignment="1" applyProtection="1">
      <alignment horizontal="right"/>
    </xf>
    <xf numFmtId="166" fontId="3" fillId="0" borderId="2" xfId="0" applyNumberFormat="1" applyFont="1" applyFill="1" applyBorder="1" applyAlignment="1" applyProtection="1">
      <alignment horizontal="right"/>
    </xf>
    <xf numFmtId="0" fontId="7" fillId="0" borderId="2" xfId="0" applyFont="1" applyFill="1" applyBorder="1" applyAlignment="1" applyProtection="1">
      <alignment horizontal="left" vertical="center" wrapText="1"/>
    </xf>
    <xf numFmtId="0" fontId="42" fillId="0" borderId="0" xfId="0" applyFont="1" applyFill="1" applyAlignment="1" applyProtection="1">
      <alignment horizontal="left" vertical="center"/>
    </xf>
    <xf numFmtId="164" fontId="3" fillId="0" borderId="2" xfId="2" applyNumberFormat="1" applyFont="1" applyFill="1" applyBorder="1" applyAlignment="1" applyProtection="1">
      <alignment horizontal="right"/>
    </xf>
    <xf numFmtId="0" fontId="3" fillId="0" borderId="2" xfId="2" applyFont="1" applyFill="1" applyBorder="1" applyAlignment="1" applyProtection="1">
      <alignment horizontal="left" wrapText="1"/>
    </xf>
    <xf numFmtId="2" fontId="3" fillId="0" borderId="2" xfId="2" applyNumberFormat="1" applyFont="1" applyFill="1" applyBorder="1" applyAlignment="1" applyProtection="1">
      <alignment horizontal="right"/>
    </xf>
    <xf numFmtId="166" fontId="3" fillId="0" borderId="2" xfId="2" applyNumberFormat="1" applyFont="1" applyFill="1" applyBorder="1" applyAlignment="1" applyProtection="1">
      <alignment horizontal="right"/>
    </xf>
    <xf numFmtId="166" fontId="4" fillId="0" borderId="2" xfId="2" applyNumberFormat="1" applyFont="1" applyFill="1" applyBorder="1" applyAlignment="1" applyProtection="1">
      <alignment horizontal="center"/>
    </xf>
    <xf numFmtId="167" fontId="0" fillId="0" borderId="0" xfId="0" applyNumberFormat="1" applyFill="1" applyAlignment="1" applyProtection="1">
      <alignment horizontal="left" vertical="top"/>
    </xf>
    <xf numFmtId="2" fontId="21" fillId="0" borderId="2" xfId="0" applyNumberFormat="1" applyFont="1" applyFill="1" applyBorder="1" applyAlignment="1" applyProtection="1">
      <alignment horizontal="right"/>
    </xf>
    <xf numFmtId="166" fontId="68" fillId="0" borderId="2" xfId="0" applyNumberFormat="1" applyFont="1" applyFill="1" applyBorder="1" applyAlignment="1" applyProtection="1">
      <alignment horizontal="right"/>
    </xf>
    <xf numFmtId="0" fontId="36" fillId="0" borderId="0" xfId="0" applyFont="1" applyFill="1" applyAlignment="1" applyProtection="1">
      <alignment horizontal="left" vertical="center"/>
    </xf>
    <xf numFmtId="164" fontId="53" fillId="0" borderId="2" xfId="2" applyNumberFormat="1" applyFont="1" applyFill="1" applyBorder="1" applyAlignment="1" applyProtection="1">
      <alignment horizontal="right"/>
    </xf>
    <xf numFmtId="0" fontId="53" fillId="0" borderId="2" xfId="2" applyFont="1" applyFill="1" applyBorder="1" applyAlignment="1" applyProtection="1">
      <alignment horizontal="left" wrapText="1"/>
    </xf>
    <xf numFmtId="0" fontId="68" fillId="0" borderId="2" xfId="0" applyFont="1" applyFill="1" applyBorder="1" applyAlignment="1" applyProtection="1">
      <alignment horizontal="left" wrapText="1"/>
    </xf>
    <xf numFmtId="2" fontId="22" fillId="0" borderId="2" xfId="0" applyNumberFormat="1" applyFont="1" applyFill="1" applyBorder="1" applyAlignment="1" applyProtection="1">
      <alignment horizontal="right"/>
    </xf>
    <xf numFmtId="166" fontId="68" fillId="0" borderId="2" xfId="0" applyNumberFormat="1" applyFont="1" applyFill="1" applyBorder="1" applyAlignment="1" applyProtection="1">
      <alignment horizontal="center"/>
    </xf>
    <xf numFmtId="0" fontId="9" fillId="0" borderId="0" xfId="0" applyFont="1" applyFill="1" applyAlignment="1" applyProtection="1">
      <alignment horizontal="left" vertical="top"/>
    </xf>
    <xf numFmtId="166" fontId="53" fillId="0" borderId="2" xfId="2" applyNumberFormat="1" applyFont="1" applyFill="1" applyBorder="1" applyAlignment="1" applyProtection="1">
      <alignment horizontal="right"/>
    </xf>
    <xf numFmtId="166" fontId="21" fillId="0" borderId="2" xfId="2" applyNumberFormat="1" applyFont="1" applyFill="1" applyBorder="1" applyAlignment="1" applyProtection="1">
      <alignment horizontal="center"/>
    </xf>
    <xf numFmtId="0" fontId="70" fillId="0" borderId="2" xfId="0" applyFont="1" applyFill="1" applyBorder="1" applyAlignment="1" applyProtection="1">
      <alignment horizontal="left" wrapText="1"/>
    </xf>
    <xf numFmtId="0" fontId="36" fillId="0" borderId="0" xfId="0" applyFont="1" applyFill="1" applyAlignment="1" applyProtection="1">
      <alignment horizontal="left" vertical="top"/>
    </xf>
    <xf numFmtId="0" fontId="9" fillId="0" borderId="0" xfId="2" applyFill="1" applyAlignment="1" applyProtection="1">
      <alignment horizontal="left" vertical="top"/>
    </xf>
    <xf numFmtId="0" fontId="67" fillId="0" borderId="2" xfId="0" applyFont="1" applyFill="1" applyBorder="1" applyAlignment="1" applyProtection="1">
      <alignment horizontal="left" wrapText="1"/>
    </xf>
    <xf numFmtId="0" fontId="20" fillId="0" borderId="0" xfId="0" applyFont="1" applyFill="1" applyAlignment="1" applyProtection="1">
      <alignment horizontal="left" vertical="top"/>
    </xf>
    <xf numFmtId="0" fontId="20" fillId="0" borderId="0" xfId="0" applyFont="1" applyAlignment="1" applyProtection="1">
      <alignment horizontal="left" vertical="top"/>
    </xf>
    <xf numFmtId="164" fontId="7" fillId="0" borderId="2" xfId="0" applyNumberFormat="1" applyFont="1" applyFill="1" applyBorder="1" applyAlignment="1" applyProtection="1">
      <alignment horizontal="right"/>
    </xf>
    <xf numFmtId="166" fontId="7" fillId="0" borderId="2" xfId="0" applyNumberFormat="1" applyFont="1" applyFill="1" applyBorder="1" applyAlignment="1" applyProtection="1">
      <alignment horizontal="right"/>
    </xf>
    <xf numFmtId="0" fontId="0" fillId="0" borderId="2" xfId="0" applyFill="1" applyBorder="1" applyAlignment="1" applyProtection="1">
      <alignment horizontal="center" vertical="top"/>
    </xf>
    <xf numFmtId="2" fontId="4" fillId="0" borderId="2" xfId="0" applyNumberFormat="1" applyFont="1" applyFill="1" applyBorder="1" applyAlignment="1" applyProtection="1"/>
    <xf numFmtId="164" fontId="8" fillId="0" borderId="2" xfId="0" applyNumberFormat="1" applyFont="1" applyFill="1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left" wrapText="1"/>
    </xf>
    <xf numFmtId="2" fontId="8" fillId="0" borderId="2" xfId="0" applyNumberFormat="1" applyFont="1" applyFill="1" applyBorder="1" applyAlignment="1" applyProtection="1">
      <alignment horizontal="right"/>
    </xf>
    <xf numFmtId="166" fontId="8" fillId="0" borderId="2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left" vertical="center"/>
    </xf>
    <xf numFmtId="0" fontId="41" fillId="0" borderId="0" xfId="0" applyFont="1" applyFill="1" applyAlignment="1" applyProtection="1">
      <alignment horizontal="left" vertical="center"/>
    </xf>
    <xf numFmtId="0" fontId="63" fillId="0" borderId="0" xfId="0" applyFont="1" applyFill="1" applyAlignment="1" applyProtection="1">
      <alignment horizontal="left" vertical="center"/>
    </xf>
    <xf numFmtId="0" fontId="47" fillId="0" borderId="0" xfId="0" applyFont="1" applyFill="1" applyAlignment="1" applyProtection="1">
      <alignment horizontal="left" vertical="center"/>
    </xf>
    <xf numFmtId="0" fontId="25" fillId="0" borderId="2" xfId="0" applyFont="1" applyFill="1" applyBorder="1" applyAlignment="1" applyProtection="1">
      <alignment horizontal="right" vertical="center"/>
    </xf>
    <xf numFmtId="0" fontId="0" fillId="0" borderId="0" xfId="0" applyAlignment="1" applyProtection="1">
      <alignment vertical="top"/>
    </xf>
    <xf numFmtId="0" fontId="35" fillId="0" borderId="0" xfId="0" applyFont="1" applyFill="1" applyAlignment="1" applyProtection="1">
      <alignment vertical="center"/>
    </xf>
    <xf numFmtId="0" fontId="45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left" vertical="center"/>
    </xf>
    <xf numFmtId="2" fontId="23" fillId="0" borderId="2" xfId="0" applyNumberFormat="1" applyFont="1" applyFill="1" applyBorder="1" applyAlignment="1" applyProtection="1">
      <alignment horizontal="right"/>
    </xf>
    <xf numFmtId="166" fontId="39" fillId="0" borderId="2" xfId="0" applyNumberFormat="1" applyFont="1" applyFill="1" applyBorder="1" applyAlignment="1" applyProtection="1">
      <alignment horizontal="center"/>
    </xf>
    <xf numFmtId="0" fontId="20" fillId="0" borderId="0" xfId="0" applyFont="1" applyFill="1" applyAlignment="1" applyProtection="1">
      <alignment horizontal="right" vertical="top"/>
    </xf>
    <xf numFmtId="2" fontId="36" fillId="0" borderId="0" xfId="0" applyNumberFormat="1" applyFont="1" applyFill="1" applyAlignment="1" applyProtection="1">
      <alignment horizontal="left" vertical="center"/>
    </xf>
    <xf numFmtId="2" fontId="20" fillId="0" borderId="0" xfId="0" applyNumberFormat="1" applyFont="1" applyFill="1" applyAlignment="1" applyProtection="1">
      <alignment horizontal="left" vertical="top"/>
    </xf>
    <xf numFmtId="49" fontId="0" fillId="0" borderId="0" xfId="0" applyNumberFormat="1" applyFill="1" applyAlignment="1" applyProtection="1">
      <alignment horizontal="right" vertical="top"/>
    </xf>
    <xf numFmtId="0" fontId="24" fillId="0" borderId="2" xfId="0" applyFont="1" applyFill="1" applyBorder="1" applyAlignment="1" applyProtection="1">
      <alignment horizontal="center" vertical="top"/>
    </xf>
    <xf numFmtId="0" fontId="38" fillId="0" borderId="0" xfId="0" applyFont="1" applyFill="1" applyBorder="1" applyAlignment="1" applyProtection="1">
      <alignment horizontal="left" vertical="center"/>
    </xf>
    <xf numFmtId="0" fontId="62" fillId="0" borderId="0" xfId="0" applyFont="1" applyFill="1" applyBorder="1" applyAlignment="1" applyProtection="1">
      <alignment horizontal="left" vertical="center"/>
    </xf>
    <xf numFmtId="49" fontId="21" fillId="0" borderId="2" xfId="0" applyNumberFormat="1" applyFont="1" applyFill="1" applyBorder="1" applyAlignment="1" applyProtection="1">
      <alignment horizontal="left" wrapText="1"/>
    </xf>
    <xf numFmtId="0" fontId="61" fillId="0" borderId="2" xfId="0" applyFont="1" applyFill="1" applyBorder="1" applyAlignment="1" applyProtection="1">
      <alignment vertical="top"/>
    </xf>
    <xf numFmtId="0" fontId="9" fillId="0" borderId="0" xfId="2" applyAlignment="1" applyProtection="1">
      <alignment horizontal="left" vertical="top"/>
    </xf>
    <xf numFmtId="166" fontId="3" fillId="2" borderId="2" xfId="2" applyNumberFormat="1" applyFont="1" applyFill="1" applyBorder="1" applyAlignment="1" applyProtection="1">
      <alignment horizontal="right"/>
    </xf>
    <xf numFmtId="166" fontId="4" fillId="2" borderId="2" xfId="2" applyNumberFormat="1" applyFont="1" applyFill="1" applyBorder="1" applyAlignment="1" applyProtection="1">
      <alignment horizontal="center"/>
    </xf>
    <xf numFmtId="0" fontId="36" fillId="0" borderId="0" xfId="2" applyFont="1" applyFill="1" applyAlignment="1" applyProtection="1">
      <alignment horizontal="left" vertical="top"/>
    </xf>
    <xf numFmtId="0" fontId="4" fillId="0" borderId="2" xfId="0" applyFont="1" applyFill="1" applyBorder="1" applyAlignment="1" applyProtection="1">
      <alignment horizontal="right" wrapText="1"/>
    </xf>
    <xf numFmtId="2" fontId="3" fillId="2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vertical="top"/>
    </xf>
    <xf numFmtId="4" fontId="42" fillId="0" borderId="0" xfId="0" applyNumberFormat="1" applyFont="1" applyFill="1" applyAlignment="1" applyProtection="1">
      <alignment horizontal="left" vertical="center"/>
    </xf>
    <xf numFmtId="0" fontId="33" fillId="0" borderId="0" xfId="0" applyFont="1" applyFill="1" applyAlignment="1" applyProtection="1">
      <alignment horizontal="left" vertical="center"/>
    </xf>
    <xf numFmtId="164" fontId="21" fillId="0" borderId="0" xfId="0" applyNumberFormat="1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left" wrapText="1"/>
    </xf>
    <xf numFmtId="0" fontId="22" fillId="0" borderId="0" xfId="0" applyFont="1" applyFill="1" applyBorder="1" applyAlignment="1" applyProtection="1">
      <alignment horizontal="left" wrapText="1"/>
    </xf>
    <xf numFmtId="2" fontId="21" fillId="0" borderId="0" xfId="0" applyNumberFormat="1" applyFont="1" applyFill="1" applyBorder="1" applyAlignment="1" applyProtection="1">
      <alignment horizontal="right"/>
    </xf>
    <xf numFmtId="166" fontId="21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Alignment="1" applyProtection="1">
      <alignment horizontal="right" vertical="center"/>
    </xf>
    <xf numFmtId="167" fontId="4" fillId="0" borderId="2" xfId="0" applyNumberFormat="1" applyFont="1" applyFill="1" applyBorder="1" applyAlignment="1" applyProtection="1">
      <alignment horizontal="right"/>
    </xf>
    <xf numFmtId="4" fontId="0" fillId="0" borderId="0" xfId="0" applyNumberFormat="1" applyFill="1" applyAlignment="1" applyProtection="1">
      <alignment horizontal="right" vertical="top"/>
    </xf>
    <xf numFmtId="0" fontId="20" fillId="0" borderId="2" xfId="0" applyFont="1" applyFill="1" applyBorder="1" applyAlignment="1" applyProtection="1">
      <alignment horizontal="left" vertical="top"/>
    </xf>
    <xf numFmtId="0" fontId="0" fillId="0" borderId="2" xfId="0" applyFill="1" applyBorder="1" applyAlignment="1" applyProtection="1">
      <alignment horizontal="left" vertical="top"/>
    </xf>
    <xf numFmtId="0" fontId="0" fillId="0" borderId="0" xfId="0" applyFill="1" applyAlignment="1" applyProtection="1">
      <alignment vertical="center"/>
    </xf>
    <xf numFmtId="0" fontId="49" fillId="0" borderId="0" xfId="0" applyFont="1" applyFill="1" applyAlignment="1" applyProtection="1">
      <alignment horizontal="left" vertical="center"/>
    </xf>
    <xf numFmtId="49" fontId="3" fillId="0" borderId="2" xfId="0" applyNumberFormat="1" applyFont="1" applyFill="1" applyBorder="1" applyAlignment="1" applyProtection="1">
      <alignment horizontal="left" wrapText="1"/>
    </xf>
    <xf numFmtId="0" fontId="9" fillId="0" borderId="0" xfId="2" applyFill="1" applyAlignment="1" applyProtection="1">
      <alignment horizontal="right" vertical="top"/>
    </xf>
    <xf numFmtId="49" fontId="39" fillId="0" borderId="2" xfId="0" applyNumberFormat="1" applyFont="1" applyFill="1" applyBorder="1" applyAlignment="1" applyProtection="1">
      <alignment horizontal="left" wrapText="1"/>
    </xf>
    <xf numFmtId="2" fontId="4" fillId="2" borderId="2" xfId="0" applyNumberFormat="1" applyFont="1" applyFill="1" applyBorder="1" applyAlignment="1" applyProtection="1">
      <alignment horizontal="right"/>
    </xf>
    <xf numFmtId="167" fontId="4" fillId="2" borderId="2" xfId="0" applyNumberFormat="1" applyFont="1" applyFill="1" applyBorder="1" applyAlignment="1" applyProtection="1">
      <alignment horizontal="right"/>
    </xf>
    <xf numFmtId="49" fontId="8" fillId="0" borderId="2" xfId="0" applyNumberFormat="1" applyFont="1" applyFill="1" applyBorder="1" applyAlignment="1" applyProtection="1">
      <alignment horizontal="left" wrapText="1"/>
    </xf>
    <xf numFmtId="2" fontId="7" fillId="0" borderId="2" xfId="0" applyNumberFormat="1" applyFont="1" applyFill="1" applyBorder="1" applyAlignment="1" applyProtection="1">
      <alignment horizontal="right" wrapText="1"/>
    </xf>
    <xf numFmtId="164" fontId="23" fillId="0" borderId="2" xfId="0" applyNumberFormat="1" applyFont="1" applyFill="1" applyBorder="1" applyAlignment="1" applyProtection="1">
      <alignment horizontal="right"/>
    </xf>
    <xf numFmtId="0" fontId="7" fillId="2" borderId="2" xfId="0" applyFont="1" applyFill="1" applyBorder="1" applyAlignment="1" applyProtection="1">
      <alignment horizontal="left" wrapText="1"/>
    </xf>
    <xf numFmtId="4" fontId="11" fillId="0" borderId="0" xfId="0" applyNumberFormat="1" applyFont="1" applyFill="1" applyAlignment="1" applyProtection="1">
      <alignment horizontal="left" vertical="center"/>
    </xf>
    <xf numFmtId="4" fontId="37" fillId="0" borderId="0" xfId="0" applyNumberFormat="1" applyFont="1" applyFill="1" applyAlignment="1" applyProtection="1">
      <alignment horizontal="left" vertical="center"/>
    </xf>
    <xf numFmtId="0" fontId="44" fillId="0" borderId="0" xfId="0" applyFont="1" applyFill="1" applyBorder="1" applyAlignment="1" applyProtection="1">
      <alignment horizontal="left" vertical="center"/>
    </xf>
    <xf numFmtId="4" fontId="33" fillId="0" borderId="0" xfId="0" applyNumberFormat="1" applyFont="1" applyFill="1" applyAlignment="1" applyProtection="1">
      <alignment horizontal="right" vertical="center"/>
    </xf>
    <xf numFmtId="164" fontId="53" fillId="2" borderId="2" xfId="2" applyNumberFormat="1" applyFont="1" applyFill="1" applyBorder="1" applyAlignment="1" applyProtection="1">
      <alignment horizontal="right"/>
    </xf>
    <xf numFmtId="0" fontId="53" fillId="2" borderId="2" xfId="2" applyFont="1" applyFill="1" applyBorder="1" applyAlignment="1" applyProtection="1">
      <alignment horizontal="left" wrapText="1"/>
    </xf>
    <xf numFmtId="0" fontId="68" fillId="2" borderId="2" xfId="0" applyFont="1" applyFill="1" applyBorder="1" applyAlignment="1" applyProtection="1">
      <alignment horizontal="left" wrapText="1"/>
    </xf>
    <xf numFmtId="2" fontId="7" fillId="2" borderId="2" xfId="0" applyNumberFormat="1" applyFont="1" applyFill="1" applyBorder="1" applyAlignment="1" applyProtection="1">
      <alignment horizontal="right"/>
    </xf>
    <xf numFmtId="166" fontId="21" fillId="2" borderId="2" xfId="0" applyNumberFormat="1" applyFont="1" applyFill="1" applyBorder="1" applyAlignment="1" applyProtection="1">
      <alignment horizontal="right"/>
    </xf>
    <xf numFmtId="166" fontId="68" fillId="2" borderId="2" xfId="0" applyNumberFormat="1" applyFont="1" applyFill="1" applyBorder="1" applyAlignment="1" applyProtection="1">
      <alignment horizontal="right"/>
    </xf>
    <xf numFmtId="166" fontId="68" fillId="2" borderId="2" xfId="0" applyNumberFormat="1" applyFont="1" applyFill="1" applyBorder="1" applyAlignment="1" applyProtection="1">
      <alignment horizontal="center"/>
    </xf>
    <xf numFmtId="166" fontId="53" fillId="2" borderId="2" xfId="2" applyNumberFormat="1" applyFont="1" applyFill="1" applyBorder="1" applyAlignment="1" applyProtection="1">
      <alignment horizontal="right"/>
    </xf>
    <xf numFmtId="166" fontId="21" fillId="2" borderId="2" xfId="2" applyNumberFormat="1" applyFont="1" applyFill="1" applyBorder="1" applyAlignment="1" applyProtection="1">
      <alignment horizontal="center"/>
    </xf>
    <xf numFmtId="0" fontId="9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left" vertical="center"/>
    </xf>
    <xf numFmtId="166" fontId="21" fillId="0" borderId="0" xfId="0" applyNumberFormat="1" applyFont="1" applyFill="1" applyBorder="1" applyAlignment="1" applyProtection="1">
      <alignment horizontal="left"/>
    </xf>
    <xf numFmtId="4" fontId="34" fillId="0" borderId="0" xfId="0" applyNumberFormat="1" applyFont="1" applyFill="1" applyAlignment="1" applyProtection="1">
      <alignment horizontal="center" vertical="center"/>
    </xf>
    <xf numFmtId="164" fontId="21" fillId="0" borderId="0" xfId="0" applyNumberFormat="1" applyFont="1" applyFill="1" applyBorder="1" applyAlignment="1" applyProtection="1">
      <alignment horizontal="left"/>
    </xf>
    <xf numFmtId="0" fontId="9" fillId="0" borderId="0" xfId="0" applyFont="1" applyFill="1" applyAlignment="1" applyProtection="1"/>
    <xf numFmtId="0" fontId="9" fillId="0" borderId="0" xfId="0" applyFont="1" applyFill="1" applyAlignment="1" applyProtection="1">
      <alignment horizontal="left"/>
    </xf>
    <xf numFmtId="164" fontId="32" fillId="2" borderId="2" xfId="0" applyNumberFormat="1" applyFont="1" applyFill="1" applyBorder="1" applyAlignment="1" applyProtection="1">
      <alignment horizontal="right"/>
    </xf>
    <xf numFmtId="0" fontId="32" fillId="2" borderId="2" xfId="0" applyFont="1" applyFill="1" applyBorder="1" applyAlignment="1" applyProtection="1">
      <alignment horizontal="left" wrapText="1"/>
    </xf>
    <xf numFmtId="2" fontId="32" fillId="2" borderId="2" xfId="0" applyNumberFormat="1" applyFont="1" applyFill="1" applyBorder="1" applyAlignment="1" applyProtection="1">
      <alignment horizontal="right"/>
    </xf>
    <xf numFmtId="166" fontId="32" fillId="2" borderId="2" xfId="0" applyNumberFormat="1" applyFont="1" applyFill="1" applyBorder="1" applyAlignment="1" applyProtection="1">
      <alignment horizontal="right"/>
    </xf>
    <xf numFmtId="49" fontId="4" fillId="2" borderId="2" xfId="0" applyNumberFormat="1" applyFont="1" applyFill="1" applyBorder="1" applyAlignment="1" applyProtection="1">
      <alignment horizontal="right" wrapText="1"/>
    </xf>
    <xf numFmtId="49" fontId="4" fillId="2" borderId="2" xfId="0" applyNumberFormat="1" applyFont="1" applyFill="1" applyBorder="1" applyAlignment="1" applyProtection="1">
      <alignment horizontal="left" wrapText="1"/>
    </xf>
    <xf numFmtId="0" fontId="9" fillId="0" borderId="0" xfId="0" applyFont="1" applyAlignment="1" applyProtection="1">
      <alignment horizontal="left" vertical="top"/>
    </xf>
    <xf numFmtId="4" fontId="19" fillId="0" borderId="0" xfId="0" applyNumberFormat="1" applyFont="1" applyFill="1" applyAlignment="1" applyProtection="1">
      <alignment horizontal="right" vertical="top"/>
    </xf>
    <xf numFmtId="167" fontId="3" fillId="2" borderId="2" xfId="0" applyNumberFormat="1" applyFont="1" applyFill="1" applyBorder="1" applyAlignment="1" applyProtection="1">
      <alignment horizontal="right"/>
    </xf>
    <xf numFmtId="166" fontId="23" fillId="0" borderId="2" xfId="0" applyNumberFormat="1" applyFont="1" applyFill="1" applyBorder="1" applyAlignment="1" applyProtection="1">
      <alignment horizontal="right"/>
    </xf>
    <xf numFmtId="2" fontId="7" fillId="0" borderId="0" xfId="0" applyNumberFormat="1" applyFont="1" applyFill="1" applyBorder="1" applyAlignment="1" applyProtection="1">
      <alignment horizontal="right"/>
    </xf>
    <xf numFmtId="0" fontId="59" fillId="0" borderId="0" xfId="0" applyFont="1" applyFill="1" applyAlignment="1" applyProtection="1">
      <alignment vertical="center"/>
    </xf>
    <xf numFmtId="0" fontId="3" fillId="0" borderId="2" xfId="0" applyFont="1" applyFill="1" applyBorder="1" applyAlignment="1" applyProtection="1">
      <alignment horizontal="left" vertical="center" wrapText="1"/>
    </xf>
    <xf numFmtId="9" fontId="0" fillId="0" borderId="0" xfId="0" applyNumberFormat="1" applyFill="1" applyAlignment="1" applyProtection="1">
      <alignment horizontal="right" vertical="top"/>
    </xf>
    <xf numFmtId="9" fontId="0" fillId="0" borderId="0" xfId="0" applyNumberFormat="1" applyFill="1" applyAlignment="1" applyProtection="1">
      <alignment horizontal="left" vertical="top"/>
    </xf>
    <xf numFmtId="0" fontId="24" fillId="0" borderId="0" xfId="0" applyFont="1" applyFill="1" applyAlignment="1" applyProtection="1">
      <alignment vertical="top"/>
    </xf>
    <xf numFmtId="9" fontId="24" fillId="0" borderId="0" xfId="0" applyNumberFormat="1" applyFont="1" applyFill="1" applyAlignment="1" applyProtection="1">
      <alignment horizontal="left" vertical="top"/>
    </xf>
    <xf numFmtId="9" fontId="24" fillId="0" borderId="0" xfId="0" applyNumberFormat="1" applyFont="1" applyFill="1" applyAlignment="1" applyProtection="1">
      <alignment horizontal="right" vertical="top"/>
    </xf>
    <xf numFmtId="0" fontId="24" fillId="0" borderId="0" xfId="0" applyFont="1" applyFill="1" applyAlignment="1" applyProtection="1">
      <alignment horizontal="left" vertical="top"/>
    </xf>
    <xf numFmtId="164" fontId="32" fillId="0" borderId="2" xfId="0" applyNumberFormat="1" applyFont="1" applyFill="1" applyBorder="1" applyAlignment="1" applyProtection="1">
      <alignment horizontal="right"/>
    </xf>
    <xf numFmtId="49" fontId="32" fillId="0" borderId="2" xfId="0" applyNumberFormat="1" applyFont="1" applyFill="1" applyBorder="1" applyAlignment="1" applyProtection="1">
      <alignment horizontal="left" wrapText="1"/>
    </xf>
    <xf numFmtId="0" fontId="32" fillId="0" borderId="2" xfId="0" applyFont="1" applyFill="1" applyBorder="1" applyAlignment="1" applyProtection="1">
      <alignment horizontal="left" wrapText="1"/>
    </xf>
    <xf numFmtId="0" fontId="31" fillId="0" borderId="2" xfId="0" applyFont="1" applyFill="1" applyBorder="1" applyAlignment="1" applyProtection="1">
      <alignment horizontal="left" wrapText="1"/>
    </xf>
    <xf numFmtId="166" fontId="32" fillId="0" borderId="2" xfId="0" applyNumberFormat="1" applyFont="1" applyFill="1" applyBorder="1" applyAlignment="1" applyProtection="1">
      <alignment horizontal="right"/>
    </xf>
    <xf numFmtId="166" fontId="32" fillId="0" borderId="2" xfId="0" applyNumberFormat="1" applyFont="1" applyFill="1" applyBorder="1" applyAlignment="1" applyProtection="1">
      <alignment horizontal="center"/>
    </xf>
    <xf numFmtId="9" fontId="0" fillId="0" borderId="0" xfId="0" applyNumberForma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horizontal="right" vertical="top"/>
    </xf>
    <xf numFmtId="9" fontId="51" fillId="0" borderId="0" xfId="19" applyNumberFormat="1" applyFill="1" applyAlignment="1" applyProtection="1">
      <alignment horizontal="left" vertical="top"/>
    </xf>
    <xf numFmtId="0" fontId="50" fillId="0" borderId="0" xfId="0" applyFont="1" applyFill="1" applyAlignment="1" applyProtection="1">
      <alignment horizontal="left" vertical="center"/>
    </xf>
    <xf numFmtId="0" fontId="50" fillId="0" borderId="0" xfId="0" applyFont="1" applyFill="1" applyAlignment="1" applyProtection="1">
      <alignment horizontal="right" vertical="center"/>
    </xf>
    <xf numFmtId="0" fontId="48" fillId="0" borderId="0" xfId="0" applyFont="1" applyFill="1" applyAlignment="1" applyProtection="1">
      <alignment horizontal="right" vertical="top"/>
    </xf>
    <xf numFmtId="0" fontId="48" fillId="0" borderId="0" xfId="0" applyFont="1" applyFill="1" applyAlignment="1" applyProtection="1">
      <alignment horizontal="left" vertical="top"/>
    </xf>
    <xf numFmtId="0" fontId="48" fillId="0" borderId="0" xfId="0" applyFont="1" applyAlignment="1" applyProtection="1">
      <alignment horizontal="left" vertical="top"/>
    </xf>
    <xf numFmtId="164" fontId="4" fillId="0" borderId="2" xfId="18" applyNumberFormat="1" applyFont="1" applyFill="1" applyBorder="1" applyAlignment="1" applyProtection="1">
      <alignment horizontal="right"/>
    </xf>
    <xf numFmtId="0" fontId="9" fillId="0" borderId="0" xfId="0" applyFont="1" applyFill="1" applyAlignment="1" applyProtection="1">
      <alignment horizontal="right" vertical="center"/>
    </xf>
    <xf numFmtId="0" fontId="0" fillId="0" borderId="0" xfId="0" applyAlignment="1" applyProtection="1">
      <alignment horizontal="right" vertical="top"/>
    </xf>
    <xf numFmtId="0" fontId="48" fillId="0" borderId="0" xfId="0" applyFont="1" applyFill="1" applyAlignment="1" applyProtection="1">
      <alignment vertical="top"/>
    </xf>
    <xf numFmtId="0" fontId="48" fillId="0" borderId="0" xfId="0" applyFont="1" applyAlignment="1" applyProtection="1">
      <alignment horizontal="right" vertical="top"/>
    </xf>
    <xf numFmtId="164" fontId="53" fillId="0" borderId="2" xfId="0" applyNumberFormat="1" applyFont="1" applyFill="1" applyBorder="1" applyAlignment="1" applyProtection="1">
      <alignment horizontal="right"/>
    </xf>
    <xf numFmtId="0" fontId="53" fillId="0" borderId="2" xfId="0" applyFont="1" applyFill="1" applyBorder="1" applyAlignment="1" applyProtection="1">
      <alignment horizontal="left" wrapText="1"/>
    </xf>
    <xf numFmtId="0" fontId="65" fillId="0" borderId="2" xfId="0" applyFont="1" applyFill="1" applyBorder="1" applyAlignment="1" applyProtection="1">
      <alignment horizontal="left" wrapText="1"/>
    </xf>
    <xf numFmtId="0" fontId="54" fillId="0" borderId="2" xfId="0" applyFont="1" applyFill="1" applyBorder="1" applyAlignment="1" applyProtection="1">
      <alignment horizontal="left" wrapText="1"/>
    </xf>
    <xf numFmtId="2" fontId="65" fillId="0" borderId="2" xfId="0" applyNumberFormat="1" applyFont="1" applyFill="1" applyBorder="1" applyAlignment="1" applyProtection="1">
      <alignment horizontal="right"/>
    </xf>
    <xf numFmtId="166" fontId="53" fillId="0" borderId="2" xfId="0" applyNumberFormat="1" applyFont="1" applyFill="1" applyBorder="1" applyAlignment="1" applyProtection="1">
      <alignment horizontal="right"/>
    </xf>
    <xf numFmtId="0" fontId="55" fillId="0" borderId="2" xfId="0" applyFont="1" applyFill="1" applyBorder="1" applyAlignment="1" applyProtection="1">
      <alignment horizontal="right" vertical="center"/>
    </xf>
    <xf numFmtId="166" fontId="7" fillId="2" borderId="2" xfId="0" applyNumberFormat="1" applyFont="1" applyFill="1" applyBorder="1" applyAlignment="1" applyProtection="1">
      <alignment horizontal="right"/>
    </xf>
    <xf numFmtId="9" fontId="0" fillId="0" borderId="0" xfId="0" applyNumberFormat="1" applyFill="1" applyAlignment="1" applyProtection="1">
      <alignment vertical="top"/>
    </xf>
    <xf numFmtId="0" fontId="0" fillId="0" borderId="0" xfId="0" applyNumberFormat="1" applyFill="1" applyAlignment="1" applyProtection="1">
      <alignment vertical="top"/>
    </xf>
    <xf numFmtId="2" fontId="39" fillId="0" borderId="2" xfId="0" applyNumberFormat="1" applyFont="1" applyFill="1" applyBorder="1" applyAlignment="1" applyProtection="1">
      <alignment horizontal="right"/>
    </xf>
    <xf numFmtId="4" fontId="0" fillId="0" borderId="0" xfId="0" applyNumberFormat="1" applyFill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/>
    </xf>
    <xf numFmtId="167" fontId="51" fillId="0" borderId="0" xfId="19" applyNumberFormat="1" applyFill="1" applyAlignment="1" applyProtection="1">
      <alignment horizontal="left" vertical="top"/>
    </xf>
    <xf numFmtId="0" fontId="52" fillId="0" borderId="0" xfId="0" applyFont="1" applyFill="1" applyAlignment="1" applyProtection="1">
      <alignment horizontal="left" vertical="center"/>
    </xf>
    <xf numFmtId="166" fontId="3" fillId="0" borderId="2" xfId="0" applyNumberFormat="1" applyFont="1" applyFill="1" applyBorder="1" applyAlignment="1" applyProtection="1">
      <alignment horizontal="left"/>
    </xf>
    <xf numFmtId="0" fontId="51" fillId="0" borderId="0" xfId="19" applyFill="1" applyAlignment="1" applyProtection="1">
      <alignment horizontal="left" vertical="top"/>
    </xf>
    <xf numFmtId="49" fontId="7" fillId="0" borderId="2" xfId="0" applyNumberFormat="1" applyFont="1" applyFill="1" applyBorder="1" applyAlignment="1" applyProtection="1">
      <alignment horizontal="left" wrapText="1"/>
    </xf>
    <xf numFmtId="0" fontId="20" fillId="0" borderId="2" xfId="0" applyFont="1" applyFill="1" applyBorder="1" applyAlignment="1" applyProtection="1">
      <alignment vertical="top"/>
    </xf>
    <xf numFmtId="0" fontId="20" fillId="0" borderId="0" xfId="0" applyFont="1" applyAlignment="1" applyProtection="1">
      <alignment vertical="top"/>
    </xf>
    <xf numFmtId="0" fontId="24" fillId="0" borderId="2" xfId="0" applyFont="1" applyFill="1" applyBorder="1" applyAlignment="1" applyProtection="1">
      <alignment horizontal="left" vertical="top"/>
    </xf>
    <xf numFmtId="0" fontId="0" fillId="0" borderId="2" xfId="0" applyFont="1" applyFill="1" applyBorder="1" applyAlignment="1" applyProtection="1">
      <alignment horizontal="left" vertical="top"/>
    </xf>
    <xf numFmtId="0" fontId="9" fillId="0" borderId="0" xfId="2" applyFill="1" applyAlignment="1" applyProtection="1">
      <alignment horizontal="left" vertical="center"/>
    </xf>
    <xf numFmtId="166" fontId="0" fillId="0" borderId="0" xfId="0" applyNumberFormat="1" applyFill="1" applyAlignment="1" applyProtection="1">
      <alignment horizontal="left" vertical="top"/>
    </xf>
    <xf numFmtId="0" fontId="9" fillId="0" borderId="0" xfId="2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left" wrapText="1"/>
    </xf>
    <xf numFmtId="164" fontId="10" fillId="0" borderId="0" xfId="0" applyNumberFormat="1" applyFont="1" applyAlignment="1" applyProtection="1">
      <alignment horizontal="right"/>
    </xf>
    <xf numFmtId="0" fontId="10" fillId="0" borderId="0" xfId="0" applyFont="1" applyAlignment="1" applyProtection="1">
      <alignment horizontal="left" wrapText="1"/>
    </xf>
    <xf numFmtId="165" fontId="10" fillId="0" borderId="0" xfId="0" applyNumberFormat="1" applyFont="1" applyAlignment="1" applyProtection="1">
      <alignment horizontal="right"/>
    </xf>
    <xf numFmtId="166" fontId="10" fillId="0" borderId="0" xfId="0" applyNumberFormat="1" applyFont="1" applyFill="1" applyAlignment="1" applyProtection="1">
      <alignment horizontal="right"/>
    </xf>
    <xf numFmtId="166" fontId="10" fillId="0" borderId="0" xfId="0" applyNumberFormat="1" applyFont="1" applyAlignment="1" applyProtection="1">
      <alignment horizontal="right"/>
    </xf>
    <xf numFmtId="164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165" fontId="0" fillId="0" borderId="0" xfId="0" applyNumberFormat="1" applyAlignment="1" applyProtection="1">
      <alignment horizontal="right" vertical="top"/>
    </xf>
    <xf numFmtId="166" fontId="0" fillId="0" borderId="0" xfId="0" applyNumberFormat="1" applyFill="1" applyAlignment="1" applyProtection="1">
      <alignment horizontal="right" vertical="top"/>
    </xf>
    <xf numFmtId="166" fontId="0" fillId="0" borderId="0" xfId="0" applyNumberFormat="1" applyAlignment="1" applyProtection="1">
      <alignment horizontal="right" vertical="top"/>
    </xf>
    <xf numFmtId="0" fontId="0" fillId="0" borderId="0" xfId="0" applyFont="1" applyAlignment="1" applyProtection="1">
      <alignment horizontal="left" vertical="top"/>
    </xf>
    <xf numFmtId="0" fontId="0" fillId="0" borderId="0" xfId="0" applyFont="1" applyFill="1" applyAlignment="1" applyProtection="1">
      <alignment horizontal="left" vertical="top"/>
    </xf>
    <xf numFmtId="164" fontId="6" fillId="0" borderId="3" xfId="0" applyNumberFormat="1" applyFont="1" applyBorder="1" applyAlignment="1" applyProtection="1">
      <alignment horizontal="center"/>
    </xf>
    <xf numFmtId="0" fontId="11" fillId="0" borderId="4" xfId="0" applyFont="1" applyBorder="1" applyAlignment="1" applyProtection="1">
      <alignment horizontal="center"/>
    </xf>
    <xf numFmtId="0" fontId="11" fillId="0" borderId="5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0" fontId="8" fillId="0" borderId="4" xfId="0" applyFont="1" applyBorder="1" applyAlignment="1" applyProtection="1">
      <alignment horizontal="center"/>
    </xf>
    <xf numFmtId="165" fontId="8" fillId="0" borderId="4" xfId="0" applyNumberFormat="1" applyFont="1" applyBorder="1" applyAlignment="1" applyProtection="1">
      <alignment horizontal="right"/>
    </xf>
    <xf numFmtId="166" fontId="8" fillId="0" borderId="4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</xf>
    <xf numFmtId="164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</xf>
    <xf numFmtId="0" fontId="8" fillId="0" borderId="0" xfId="0" applyFont="1" applyBorder="1" applyAlignment="1" applyProtection="1">
      <alignment horizontal="center" wrapText="1"/>
    </xf>
    <xf numFmtId="165" fontId="8" fillId="0" borderId="0" xfId="0" applyNumberFormat="1" applyFont="1" applyBorder="1" applyAlignment="1" applyProtection="1">
      <alignment horizontal="right"/>
    </xf>
    <xf numFmtId="166" fontId="8" fillId="0" borderId="0" xfId="0" applyNumberFormat="1" applyFont="1" applyFill="1" applyBorder="1" applyAlignment="1" applyProtection="1">
      <alignment horizontal="right"/>
    </xf>
    <xf numFmtId="166" fontId="4" fillId="0" borderId="0" xfId="0" applyNumberFormat="1" applyFont="1" applyBorder="1" applyAlignment="1" applyProtection="1">
      <alignment horizontal="right"/>
    </xf>
    <xf numFmtId="0" fontId="13" fillId="0" borderId="0" xfId="1" applyFont="1" applyAlignment="1" applyProtection="1">
      <alignment vertical="center"/>
    </xf>
    <xf numFmtId="0" fontId="13" fillId="0" borderId="0" xfId="1" applyFont="1" applyFill="1" applyAlignment="1" applyProtection="1">
      <alignment vertical="center"/>
    </xf>
    <xf numFmtId="0" fontId="13" fillId="0" borderId="0" xfId="1" applyFont="1" applyFill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13" fillId="0" borderId="0" xfId="1" applyFont="1" applyAlignment="1" applyProtection="1">
      <alignment vertical="center" wrapText="1"/>
    </xf>
    <xf numFmtId="0" fontId="9" fillId="0" borderId="0" xfId="2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0" fontId="13" fillId="0" borderId="0" xfId="1" applyFont="1" applyAlignment="1" applyProtection="1">
      <alignment horizontal="center" vertical="center" wrapText="1"/>
    </xf>
    <xf numFmtId="0" fontId="13" fillId="0" borderId="0" xfId="1" applyFont="1" applyBorder="1" applyAlignment="1" applyProtection="1">
      <alignment horizontal="center" vertical="center" wrapText="1"/>
    </xf>
    <xf numFmtId="0" fontId="13" fillId="0" borderId="0" xfId="1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0" fontId="0" fillId="0" borderId="0" xfId="0" applyAlignment="1" applyProtection="1">
      <alignment vertical="center" wrapText="1"/>
    </xf>
  </cellXfs>
  <cellStyles count="20">
    <cellStyle name="Hypertextový odkaz" xfId="19" builtinId="8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2 2" xfId="16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" xfId="17"/>
    <cellStyle name="normální_2014-02-21 D.1.1. ASR - BP a NS" xfId="18"/>
    <cellStyle name="normální_POL.XLS" xfId="1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70%20Nemocnice%20Frydek-Mistek/470-02%20Stav%20upravy%20ocni%20a%20ORL/4%20-%20PD/5%20-%20DSP+DPS/O&#268;N&#205;%20-%20A%20-%201.NP/ROZPOCET/ROZPOCET-EXCEL/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workbookViewId="0"/>
  </sheetViews>
  <sheetFormatPr defaultRowHeight="10.5"/>
  <cols>
    <col min="1" max="1" width="11.7109375" style="58" customWidth="1"/>
    <col min="2" max="2" width="58.85546875" style="58" customWidth="1"/>
    <col min="3" max="3" width="15.7109375" style="58" customWidth="1"/>
    <col min="4" max="256" width="9.140625" style="58"/>
    <col min="257" max="257" width="11.7109375" style="58" customWidth="1"/>
    <col min="258" max="258" width="58.85546875" style="58" customWidth="1"/>
    <col min="259" max="259" width="15.7109375" style="58" customWidth="1"/>
    <col min="260" max="512" width="9.140625" style="58"/>
    <col min="513" max="513" width="11.7109375" style="58" customWidth="1"/>
    <col min="514" max="514" width="58.85546875" style="58" customWidth="1"/>
    <col min="515" max="515" width="15.7109375" style="58" customWidth="1"/>
    <col min="516" max="768" width="9.140625" style="58"/>
    <col min="769" max="769" width="11.7109375" style="58" customWidth="1"/>
    <col min="770" max="770" width="58.85546875" style="58" customWidth="1"/>
    <col min="771" max="771" width="15.7109375" style="58" customWidth="1"/>
    <col min="772" max="1024" width="9.140625" style="58"/>
    <col min="1025" max="1025" width="11.7109375" style="58" customWidth="1"/>
    <col min="1026" max="1026" width="58.85546875" style="58" customWidth="1"/>
    <col min="1027" max="1027" width="15.7109375" style="58" customWidth="1"/>
    <col min="1028" max="1280" width="9.140625" style="58"/>
    <col min="1281" max="1281" width="11.7109375" style="58" customWidth="1"/>
    <col min="1282" max="1282" width="58.85546875" style="58" customWidth="1"/>
    <col min="1283" max="1283" width="15.7109375" style="58" customWidth="1"/>
    <col min="1284" max="1536" width="9.140625" style="58"/>
    <col min="1537" max="1537" width="11.7109375" style="58" customWidth="1"/>
    <col min="1538" max="1538" width="58.85546875" style="58" customWidth="1"/>
    <col min="1539" max="1539" width="15.7109375" style="58" customWidth="1"/>
    <col min="1540" max="1792" width="9.140625" style="58"/>
    <col min="1793" max="1793" width="11.7109375" style="58" customWidth="1"/>
    <col min="1794" max="1794" width="58.85546875" style="58" customWidth="1"/>
    <col min="1795" max="1795" width="15.7109375" style="58" customWidth="1"/>
    <col min="1796" max="2048" width="9.140625" style="58"/>
    <col min="2049" max="2049" width="11.7109375" style="58" customWidth="1"/>
    <col min="2050" max="2050" width="58.85546875" style="58" customWidth="1"/>
    <col min="2051" max="2051" width="15.7109375" style="58" customWidth="1"/>
    <col min="2052" max="2304" width="9.140625" style="58"/>
    <col min="2305" max="2305" width="11.7109375" style="58" customWidth="1"/>
    <col min="2306" max="2306" width="58.85546875" style="58" customWidth="1"/>
    <col min="2307" max="2307" width="15.7109375" style="58" customWidth="1"/>
    <col min="2308" max="2560" width="9.140625" style="58"/>
    <col min="2561" max="2561" width="11.7109375" style="58" customWidth="1"/>
    <col min="2562" max="2562" width="58.85546875" style="58" customWidth="1"/>
    <col min="2563" max="2563" width="15.7109375" style="58" customWidth="1"/>
    <col min="2564" max="2816" width="9.140625" style="58"/>
    <col min="2817" max="2817" width="11.7109375" style="58" customWidth="1"/>
    <col min="2818" max="2818" width="58.85546875" style="58" customWidth="1"/>
    <col min="2819" max="2819" width="15.7109375" style="58" customWidth="1"/>
    <col min="2820" max="3072" width="9.140625" style="58"/>
    <col min="3073" max="3073" width="11.7109375" style="58" customWidth="1"/>
    <col min="3074" max="3074" width="58.85546875" style="58" customWidth="1"/>
    <col min="3075" max="3075" width="15.7109375" style="58" customWidth="1"/>
    <col min="3076" max="3328" width="9.140625" style="58"/>
    <col min="3329" max="3329" width="11.7109375" style="58" customWidth="1"/>
    <col min="3330" max="3330" width="58.85546875" style="58" customWidth="1"/>
    <col min="3331" max="3331" width="15.7109375" style="58" customWidth="1"/>
    <col min="3332" max="3584" width="9.140625" style="58"/>
    <col min="3585" max="3585" width="11.7109375" style="58" customWidth="1"/>
    <col min="3586" max="3586" width="58.85546875" style="58" customWidth="1"/>
    <col min="3587" max="3587" width="15.7109375" style="58" customWidth="1"/>
    <col min="3588" max="3840" width="9.140625" style="58"/>
    <col min="3841" max="3841" width="11.7109375" style="58" customWidth="1"/>
    <col min="3842" max="3842" width="58.85546875" style="58" customWidth="1"/>
    <col min="3843" max="3843" width="15.7109375" style="58" customWidth="1"/>
    <col min="3844" max="4096" width="9.140625" style="58"/>
    <col min="4097" max="4097" width="11.7109375" style="58" customWidth="1"/>
    <col min="4098" max="4098" width="58.85546875" style="58" customWidth="1"/>
    <col min="4099" max="4099" width="15.7109375" style="58" customWidth="1"/>
    <col min="4100" max="4352" width="9.140625" style="58"/>
    <col min="4353" max="4353" width="11.7109375" style="58" customWidth="1"/>
    <col min="4354" max="4354" width="58.85546875" style="58" customWidth="1"/>
    <col min="4355" max="4355" width="15.7109375" style="58" customWidth="1"/>
    <col min="4356" max="4608" width="9.140625" style="58"/>
    <col min="4609" max="4609" width="11.7109375" style="58" customWidth="1"/>
    <col min="4610" max="4610" width="58.85546875" style="58" customWidth="1"/>
    <col min="4611" max="4611" width="15.7109375" style="58" customWidth="1"/>
    <col min="4612" max="4864" width="9.140625" style="58"/>
    <col min="4865" max="4865" width="11.7109375" style="58" customWidth="1"/>
    <col min="4866" max="4866" width="58.85546875" style="58" customWidth="1"/>
    <col min="4867" max="4867" width="15.7109375" style="58" customWidth="1"/>
    <col min="4868" max="5120" width="9.140625" style="58"/>
    <col min="5121" max="5121" width="11.7109375" style="58" customWidth="1"/>
    <col min="5122" max="5122" width="58.85546875" style="58" customWidth="1"/>
    <col min="5123" max="5123" width="15.7109375" style="58" customWidth="1"/>
    <col min="5124" max="5376" width="9.140625" style="58"/>
    <col min="5377" max="5377" width="11.7109375" style="58" customWidth="1"/>
    <col min="5378" max="5378" width="58.85546875" style="58" customWidth="1"/>
    <col min="5379" max="5379" width="15.7109375" style="58" customWidth="1"/>
    <col min="5380" max="5632" width="9.140625" style="58"/>
    <col min="5633" max="5633" width="11.7109375" style="58" customWidth="1"/>
    <col min="5634" max="5634" width="58.85546875" style="58" customWidth="1"/>
    <col min="5635" max="5635" width="15.7109375" style="58" customWidth="1"/>
    <col min="5636" max="5888" width="9.140625" style="58"/>
    <col min="5889" max="5889" width="11.7109375" style="58" customWidth="1"/>
    <col min="5890" max="5890" width="58.85546875" style="58" customWidth="1"/>
    <col min="5891" max="5891" width="15.7109375" style="58" customWidth="1"/>
    <col min="5892" max="6144" width="9.140625" style="58"/>
    <col min="6145" max="6145" width="11.7109375" style="58" customWidth="1"/>
    <col min="6146" max="6146" width="58.85546875" style="58" customWidth="1"/>
    <col min="6147" max="6147" width="15.7109375" style="58" customWidth="1"/>
    <col min="6148" max="6400" width="9.140625" style="58"/>
    <col min="6401" max="6401" width="11.7109375" style="58" customWidth="1"/>
    <col min="6402" max="6402" width="58.85546875" style="58" customWidth="1"/>
    <col min="6403" max="6403" width="15.7109375" style="58" customWidth="1"/>
    <col min="6404" max="6656" width="9.140625" style="58"/>
    <col min="6657" max="6657" width="11.7109375" style="58" customWidth="1"/>
    <col min="6658" max="6658" width="58.85546875" style="58" customWidth="1"/>
    <col min="6659" max="6659" width="15.7109375" style="58" customWidth="1"/>
    <col min="6660" max="6912" width="9.140625" style="58"/>
    <col min="6913" max="6913" width="11.7109375" style="58" customWidth="1"/>
    <col min="6914" max="6914" width="58.85546875" style="58" customWidth="1"/>
    <col min="6915" max="6915" width="15.7109375" style="58" customWidth="1"/>
    <col min="6916" max="7168" width="9.140625" style="58"/>
    <col min="7169" max="7169" width="11.7109375" style="58" customWidth="1"/>
    <col min="7170" max="7170" width="58.85546875" style="58" customWidth="1"/>
    <col min="7171" max="7171" width="15.7109375" style="58" customWidth="1"/>
    <col min="7172" max="7424" width="9.140625" style="58"/>
    <col min="7425" max="7425" width="11.7109375" style="58" customWidth="1"/>
    <col min="7426" max="7426" width="58.85546875" style="58" customWidth="1"/>
    <col min="7427" max="7427" width="15.7109375" style="58" customWidth="1"/>
    <col min="7428" max="7680" width="9.140625" style="58"/>
    <col min="7681" max="7681" width="11.7109375" style="58" customWidth="1"/>
    <col min="7682" max="7682" width="58.85546875" style="58" customWidth="1"/>
    <col min="7683" max="7683" width="15.7109375" style="58" customWidth="1"/>
    <col min="7684" max="7936" width="9.140625" style="58"/>
    <col min="7937" max="7937" width="11.7109375" style="58" customWidth="1"/>
    <col min="7938" max="7938" width="58.85546875" style="58" customWidth="1"/>
    <col min="7939" max="7939" width="15.7109375" style="58" customWidth="1"/>
    <col min="7940" max="8192" width="9.140625" style="58"/>
    <col min="8193" max="8193" width="11.7109375" style="58" customWidth="1"/>
    <col min="8194" max="8194" width="58.85546875" style="58" customWidth="1"/>
    <col min="8195" max="8195" width="15.7109375" style="58" customWidth="1"/>
    <col min="8196" max="8448" width="9.140625" style="58"/>
    <col min="8449" max="8449" width="11.7109375" style="58" customWidth="1"/>
    <col min="8450" max="8450" width="58.85546875" style="58" customWidth="1"/>
    <col min="8451" max="8451" width="15.7109375" style="58" customWidth="1"/>
    <col min="8452" max="8704" width="9.140625" style="58"/>
    <col min="8705" max="8705" width="11.7109375" style="58" customWidth="1"/>
    <col min="8706" max="8706" width="58.85546875" style="58" customWidth="1"/>
    <col min="8707" max="8707" width="15.7109375" style="58" customWidth="1"/>
    <col min="8708" max="8960" width="9.140625" style="58"/>
    <col min="8961" max="8961" width="11.7109375" style="58" customWidth="1"/>
    <col min="8962" max="8962" width="58.85546875" style="58" customWidth="1"/>
    <col min="8963" max="8963" width="15.7109375" style="58" customWidth="1"/>
    <col min="8964" max="9216" width="9.140625" style="58"/>
    <col min="9217" max="9217" width="11.7109375" style="58" customWidth="1"/>
    <col min="9218" max="9218" width="58.85546875" style="58" customWidth="1"/>
    <col min="9219" max="9219" width="15.7109375" style="58" customWidth="1"/>
    <col min="9220" max="9472" width="9.140625" style="58"/>
    <col min="9473" max="9473" width="11.7109375" style="58" customWidth="1"/>
    <col min="9474" max="9474" width="58.85546875" style="58" customWidth="1"/>
    <col min="9475" max="9475" width="15.7109375" style="58" customWidth="1"/>
    <col min="9476" max="9728" width="9.140625" style="58"/>
    <col min="9729" max="9729" width="11.7109375" style="58" customWidth="1"/>
    <col min="9730" max="9730" width="58.85546875" style="58" customWidth="1"/>
    <col min="9731" max="9731" width="15.7109375" style="58" customWidth="1"/>
    <col min="9732" max="9984" width="9.140625" style="58"/>
    <col min="9985" max="9985" width="11.7109375" style="58" customWidth="1"/>
    <col min="9986" max="9986" width="58.85546875" style="58" customWidth="1"/>
    <col min="9987" max="9987" width="15.7109375" style="58" customWidth="1"/>
    <col min="9988" max="10240" width="9.140625" style="58"/>
    <col min="10241" max="10241" width="11.7109375" style="58" customWidth="1"/>
    <col min="10242" max="10242" width="58.85546875" style="58" customWidth="1"/>
    <col min="10243" max="10243" width="15.7109375" style="58" customWidth="1"/>
    <col min="10244" max="10496" width="9.140625" style="58"/>
    <col min="10497" max="10497" width="11.7109375" style="58" customWidth="1"/>
    <col min="10498" max="10498" width="58.85546875" style="58" customWidth="1"/>
    <col min="10499" max="10499" width="15.7109375" style="58" customWidth="1"/>
    <col min="10500" max="10752" width="9.140625" style="58"/>
    <col min="10753" max="10753" width="11.7109375" style="58" customWidth="1"/>
    <col min="10754" max="10754" width="58.85546875" style="58" customWidth="1"/>
    <col min="10755" max="10755" width="15.7109375" style="58" customWidth="1"/>
    <col min="10756" max="11008" width="9.140625" style="58"/>
    <col min="11009" max="11009" width="11.7109375" style="58" customWidth="1"/>
    <col min="11010" max="11010" width="58.85546875" style="58" customWidth="1"/>
    <col min="11011" max="11011" width="15.7109375" style="58" customWidth="1"/>
    <col min="11012" max="11264" width="9.140625" style="58"/>
    <col min="11265" max="11265" width="11.7109375" style="58" customWidth="1"/>
    <col min="11266" max="11266" width="58.85546875" style="58" customWidth="1"/>
    <col min="11267" max="11267" width="15.7109375" style="58" customWidth="1"/>
    <col min="11268" max="11520" width="9.140625" style="58"/>
    <col min="11521" max="11521" width="11.7109375" style="58" customWidth="1"/>
    <col min="11522" max="11522" width="58.85546875" style="58" customWidth="1"/>
    <col min="11523" max="11523" width="15.7109375" style="58" customWidth="1"/>
    <col min="11524" max="11776" width="9.140625" style="58"/>
    <col min="11777" max="11777" width="11.7109375" style="58" customWidth="1"/>
    <col min="11778" max="11778" width="58.85546875" style="58" customWidth="1"/>
    <col min="11779" max="11779" width="15.7109375" style="58" customWidth="1"/>
    <col min="11780" max="12032" width="9.140625" style="58"/>
    <col min="12033" max="12033" width="11.7109375" style="58" customWidth="1"/>
    <col min="12034" max="12034" width="58.85546875" style="58" customWidth="1"/>
    <col min="12035" max="12035" width="15.7109375" style="58" customWidth="1"/>
    <col min="12036" max="12288" width="9.140625" style="58"/>
    <col min="12289" max="12289" width="11.7109375" style="58" customWidth="1"/>
    <col min="12290" max="12290" width="58.85546875" style="58" customWidth="1"/>
    <col min="12291" max="12291" width="15.7109375" style="58" customWidth="1"/>
    <col min="12292" max="12544" width="9.140625" style="58"/>
    <col min="12545" max="12545" width="11.7109375" style="58" customWidth="1"/>
    <col min="12546" max="12546" width="58.85546875" style="58" customWidth="1"/>
    <col min="12547" max="12547" width="15.7109375" style="58" customWidth="1"/>
    <col min="12548" max="12800" width="9.140625" style="58"/>
    <col min="12801" max="12801" width="11.7109375" style="58" customWidth="1"/>
    <col min="12802" max="12802" width="58.85546875" style="58" customWidth="1"/>
    <col min="12803" max="12803" width="15.7109375" style="58" customWidth="1"/>
    <col min="12804" max="13056" width="9.140625" style="58"/>
    <col min="13057" max="13057" width="11.7109375" style="58" customWidth="1"/>
    <col min="13058" max="13058" width="58.85546875" style="58" customWidth="1"/>
    <col min="13059" max="13059" width="15.7109375" style="58" customWidth="1"/>
    <col min="13060" max="13312" width="9.140625" style="58"/>
    <col min="13313" max="13313" width="11.7109375" style="58" customWidth="1"/>
    <col min="13314" max="13314" width="58.85546875" style="58" customWidth="1"/>
    <col min="13315" max="13315" width="15.7109375" style="58" customWidth="1"/>
    <col min="13316" max="13568" width="9.140625" style="58"/>
    <col min="13569" max="13569" width="11.7109375" style="58" customWidth="1"/>
    <col min="13570" max="13570" width="58.85546875" style="58" customWidth="1"/>
    <col min="13571" max="13571" width="15.7109375" style="58" customWidth="1"/>
    <col min="13572" max="13824" width="9.140625" style="58"/>
    <col min="13825" max="13825" width="11.7109375" style="58" customWidth="1"/>
    <col min="13826" max="13826" width="58.85546875" style="58" customWidth="1"/>
    <col min="13827" max="13827" width="15.7109375" style="58" customWidth="1"/>
    <col min="13828" max="14080" width="9.140625" style="58"/>
    <col min="14081" max="14081" width="11.7109375" style="58" customWidth="1"/>
    <col min="14082" max="14082" width="58.85546875" style="58" customWidth="1"/>
    <col min="14083" max="14083" width="15.7109375" style="58" customWidth="1"/>
    <col min="14084" max="14336" width="9.140625" style="58"/>
    <col min="14337" max="14337" width="11.7109375" style="58" customWidth="1"/>
    <col min="14338" max="14338" width="58.85546875" style="58" customWidth="1"/>
    <col min="14339" max="14339" width="15.7109375" style="58" customWidth="1"/>
    <col min="14340" max="14592" width="9.140625" style="58"/>
    <col min="14593" max="14593" width="11.7109375" style="58" customWidth="1"/>
    <col min="14594" max="14594" width="58.85546875" style="58" customWidth="1"/>
    <col min="14595" max="14595" width="15.7109375" style="58" customWidth="1"/>
    <col min="14596" max="14848" width="9.140625" style="58"/>
    <col min="14849" max="14849" width="11.7109375" style="58" customWidth="1"/>
    <col min="14850" max="14850" width="58.85546875" style="58" customWidth="1"/>
    <col min="14851" max="14851" width="15.7109375" style="58" customWidth="1"/>
    <col min="14852" max="15104" width="9.140625" style="58"/>
    <col min="15105" max="15105" width="11.7109375" style="58" customWidth="1"/>
    <col min="15106" max="15106" width="58.85546875" style="58" customWidth="1"/>
    <col min="15107" max="15107" width="15.7109375" style="58" customWidth="1"/>
    <col min="15108" max="15360" width="9.140625" style="58"/>
    <col min="15361" max="15361" width="11.7109375" style="58" customWidth="1"/>
    <col min="15362" max="15362" width="58.85546875" style="58" customWidth="1"/>
    <col min="15363" max="15363" width="15.7109375" style="58" customWidth="1"/>
    <col min="15364" max="15616" width="9.140625" style="58"/>
    <col min="15617" max="15617" width="11.7109375" style="58" customWidth="1"/>
    <col min="15618" max="15618" width="58.85546875" style="58" customWidth="1"/>
    <col min="15619" max="15619" width="15.7109375" style="58" customWidth="1"/>
    <col min="15620" max="15872" width="9.140625" style="58"/>
    <col min="15873" max="15873" width="11.7109375" style="58" customWidth="1"/>
    <col min="15874" max="15874" width="58.85546875" style="58" customWidth="1"/>
    <col min="15875" max="15875" width="15.7109375" style="58" customWidth="1"/>
    <col min="15876" max="16128" width="9.140625" style="58"/>
    <col min="16129" max="16129" width="11.7109375" style="58" customWidth="1"/>
    <col min="16130" max="16130" width="58.85546875" style="58" customWidth="1"/>
    <col min="16131" max="16131" width="15.7109375" style="58" customWidth="1"/>
    <col min="16132" max="16384" width="9.140625" style="58"/>
  </cols>
  <sheetData>
    <row r="1" spans="1:9" ht="20.25" customHeight="1">
      <c r="A1" s="12" t="s">
        <v>99</v>
      </c>
      <c r="B1" s="13"/>
      <c r="C1" s="13"/>
    </row>
    <row r="2" spans="1:9" s="59" customFormat="1" ht="13.5" customHeight="1">
      <c r="A2" s="57" t="s">
        <v>172</v>
      </c>
      <c r="B2" s="57"/>
      <c r="C2" s="57"/>
      <c r="D2" s="57"/>
      <c r="E2" s="57"/>
      <c r="F2" s="57"/>
      <c r="G2" s="57"/>
      <c r="H2" s="57"/>
      <c r="I2" s="57"/>
    </row>
    <row r="3" spans="1:9" s="59" customFormat="1" ht="13.5" customHeight="1">
      <c r="A3" s="2" t="s">
        <v>173</v>
      </c>
      <c r="B3" s="3"/>
      <c r="C3" s="3"/>
      <c r="D3" s="3"/>
      <c r="E3" s="3"/>
      <c r="F3" s="1"/>
      <c r="G3" s="1"/>
      <c r="H3" s="60"/>
      <c r="I3" s="60"/>
    </row>
    <row r="4" spans="1:9" s="59" customFormat="1" ht="13.5" customHeight="1">
      <c r="A4" s="3" t="s">
        <v>174</v>
      </c>
      <c r="B4" s="3"/>
      <c r="C4" s="3"/>
      <c r="D4" s="3"/>
      <c r="E4" s="3"/>
      <c r="F4" s="1"/>
      <c r="G4" s="1"/>
      <c r="H4" s="60"/>
      <c r="I4" s="60"/>
    </row>
    <row r="5" spans="1:9" ht="13.5" customHeight="1">
      <c r="A5" s="13"/>
      <c r="B5" s="13"/>
      <c r="C5" s="13"/>
    </row>
    <row r="6" spans="1:9" ht="23.25" customHeight="1">
      <c r="A6" s="14" t="s">
        <v>100</v>
      </c>
      <c r="B6" s="15" t="s">
        <v>3</v>
      </c>
      <c r="C6" s="16" t="s">
        <v>101</v>
      </c>
    </row>
    <row r="7" spans="1:9" ht="12.6" customHeight="1">
      <c r="A7" s="17">
        <v>1</v>
      </c>
      <c r="B7" s="18">
        <v>2</v>
      </c>
      <c r="C7" s="19">
        <v>3</v>
      </c>
    </row>
    <row r="8" spans="1:9" ht="21" customHeight="1">
      <c r="A8" s="20"/>
      <c r="B8" s="21"/>
      <c r="C8" s="21"/>
    </row>
    <row r="9" spans="1:9" ht="13.5" customHeight="1">
      <c r="A9" s="22" t="s">
        <v>16</v>
      </c>
      <c r="B9" s="23" t="s">
        <v>17</v>
      </c>
      <c r="C9" s="24">
        <f>SUM(C10:C16)</f>
        <v>0</v>
      </c>
    </row>
    <row r="10" spans="1:9" ht="13.5" customHeight="1">
      <c r="A10" s="25">
        <v>1</v>
      </c>
      <c r="B10" s="26" t="s">
        <v>40</v>
      </c>
      <c r="C10" s="27">
        <f>'D.1.1. ASR'!H9</f>
        <v>0</v>
      </c>
    </row>
    <row r="11" spans="1:9" ht="13.5" customHeight="1">
      <c r="A11" s="25">
        <v>2</v>
      </c>
      <c r="B11" s="26" t="s">
        <v>33</v>
      </c>
      <c r="C11" s="28">
        <f>'D.1.1. ASR'!H53</f>
        <v>0</v>
      </c>
    </row>
    <row r="12" spans="1:9" ht="13.5" customHeight="1">
      <c r="A12" s="25">
        <v>3</v>
      </c>
      <c r="B12" s="26" t="s">
        <v>59</v>
      </c>
      <c r="C12" s="27">
        <f>'D.1.1. ASR'!H193</f>
        <v>0</v>
      </c>
    </row>
    <row r="13" spans="1:9" ht="13.5" customHeight="1">
      <c r="A13" s="25">
        <v>4</v>
      </c>
      <c r="B13" s="26" t="s">
        <v>36</v>
      </c>
      <c r="C13" s="28">
        <f>'D.1.1. ASR'!H228</f>
        <v>0</v>
      </c>
    </row>
    <row r="14" spans="1:9" ht="13.5" customHeight="1">
      <c r="A14" s="25">
        <v>6</v>
      </c>
      <c r="B14" s="26" t="s">
        <v>97</v>
      </c>
      <c r="C14" s="27">
        <f>'D.1.1. ASR'!H299</f>
        <v>0</v>
      </c>
    </row>
    <row r="15" spans="1:9" ht="13.5" customHeight="1">
      <c r="A15" s="25">
        <v>9</v>
      </c>
      <c r="B15" s="26" t="s">
        <v>73</v>
      </c>
      <c r="C15" s="27">
        <f>'D.1.1. ASR'!H322</f>
        <v>0</v>
      </c>
    </row>
    <row r="16" spans="1:9" ht="13.5" customHeight="1">
      <c r="A16" s="29">
        <v>99</v>
      </c>
      <c r="B16" s="30" t="s">
        <v>23</v>
      </c>
      <c r="C16" s="31">
        <f>'D.1.1. ASR'!H392</f>
        <v>0</v>
      </c>
    </row>
    <row r="17" spans="1:3" ht="13.5" customHeight="1">
      <c r="A17" s="22" t="s">
        <v>41</v>
      </c>
      <c r="B17" s="23" t="s">
        <v>42</v>
      </c>
      <c r="C17" s="24">
        <f>SUM(C18:C26)</f>
        <v>0</v>
      </c>
    </row>
    <row r="18" spans="1:3" ht="13.5" customHeight="1">
      <c r="A18" s="25">
        <v>711</v>
      </c>
      <c r="B18" s="26" t="s">
        <v>44</v>
      </c>
      <c r="C18" s="27">
        <f>'D.1.1. ASR'!H399</f>
        <v>0</v>
      </c>
    </row>
    <row r="19" spans="1:3" ht="13.5" customHeight="1">
      <c r="A19" s="25">
        <v>712</v>
      </c>
      <c r="B19" s="26" t="s">
        <v>135</v>
      </c>
      <c r="C19" s="27">
        <f>'D.1.1. ASR'!H423</f>
        <v>0</v>
      </c>
    </row>
    <row r="20" spans="1:3" ht="13.5" customHeight="1">
      <c r="A20" s="25">
        <v>713</v>
      </c>
      <c r="B20" s="26" t="s">
        <v>51</v>
      </c>
      <c r="C20" s="28">
        <f>'D.1.1. ASR'!H452</f>
        <v>0</v>
      </c>
    </row>
    <row r="21" spans="1:3" ht="13.5" customHeight="1">
      <c r="A21" s="25">
        <v>763</v>
      </c>
      <c r="B21" s="26" t="s">
        <v>102</v>
      </c>
      <c r="C21" s="27">
        <f>'D.1.1. ASR'!H513</f>
        <v>0</v>
      </c>
    </row>
    <row r="22" spans="1:3" ht="13.5" customHeight="1">
      <c r="A22" s="25">
        <v>767</v>
      </c>
      <c r="B22" s="26" t="s">
        <v>155</v>
      </c>
      <c r="C22" s="27">
        <f>'D.1.1. ASR'!H540</f>
        <v>0</v>
      </c>
    </row>
    <row r="23" spans="1:3" ht="13.5" customHeight="1">
      <c r="A23" s="25">
        <v>771</v>
      </c>
      <c r="B23" s="26" t="s">
        <v>80</v>
      </c>
      <c r="C23" s="27">
        <f>'D.1.1. ASR'!H553</f>
        <v>0</v>
      </c>
    </row>
    <row r="24" spans="1:3" ht="13.5" customHeight="1">
      <c r="A24" s="25">
        <v>784</v>
      </c>
      <c r="B24" s="26" t="s">
        <v>103</v>
      </c>
      <c r="C24" s="27">
        <f>'D.1.1. ASR'!H580</f>
        <v>0</v>
      </c>
    </row>
    <row r="25" spans="1:3" ht="13.5" customHeight="1">
      <c r="A25" s="25">
        <v>787</v>
      </c>
      <c r="B25" s="26" t="s">
        <v>246</v>
      </c>
      <c r="C25" s="27">
        <f>'D.1.1. ASR'!H591</f>
        <v>0</v>
      </c>
    </row>
    <row r="26" spans="1:3" ht="13.5" customHeight="1">
      <c r="A26" s="25">
        <v>790</v>
      </c>
      <c r="B26" s="26" t="s">
        <v>104</v>
      </c>
      <c r="C26" s="27">
        <f>'D.1.1. ASR'!H601</f>
        <v>0</v>
      </c>
    </row>
    <row r="27" spans="1:3" ht="13.5" customHeight="1">
      <c r="A27" s="22" t="s">
        <v>116</v>
      </c>
      <c r="B27" s="23" t="s">
        <v>117</v>
      </c>
      <c r="C27" s="24">
        <f>SUM(C28)</f>
        <v>0</v>
      </c>
    </row>
    <row r="28" spans="1:3" ht="13.5" customHeight="1">
      <c r="A28" s="25" t="s">
        <v>114</v>
      </c>
      <c r="B28" s="26" t="s">
        <v>115</v>
      </c>
      <c r="C28" s="27">
        <f>'D.1.1. ASR'!H610</f>
        <v>0</v>
      </c>
    </row>
    <row r="29" spans="1:3" ht="21" customHeight="1">
      <c r="A29" s="32"/>
      <c r="B29" s="33" t="s">
        <v>129</v>
      </c>
      <c r="C29" s="34">
        <f>C17+C9+C27</f>
        <v>0</v>
      </c>
    </row>
    <row r="30" spans="1:3" ht="13.5" customHeight="1">
      <c r="A30" s="35"/>
      <c r="C30" s="36"/>
    </row>
  </sheetData>
  <sheetProtection password="CAD9" sheet="1" objects="1" scenarios="1"/>
  <mergeCells count="1">
    <mergeCell ref="A2:I2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99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646"/>
  <sheetViews>
    <sheetView zoomScaleNormal="100" workbookViewId="0"/>
  </sheetViews>
  <sheetFormatPr defaultRowHeight="15"/>
  <cols>
    <col min="1" max="2" width="4.7109375" style="59" customWidth="1"/>
    <col min="3" max="3" width="13.140625" style="59" customWidth="1"/>
    <col min="4" max="4" width="64.7109375" style="59" customWidth="1"/>
    <col min="5" max="5" width="6.5703125" style="59" customWidth="1"/>
    <col min="6" max="6" width="9.140625" style="59" customWidth="1"/>
    <col min="7" max="7" width="11" style="63" customWidth="1"/>
    <col min="8" max="8" width="16.140625" style="59" customWidth="1"/>
    <col min="9" max="9" width="16.5703125" style="59" customWidth="1"/>
    <col min="10" max="10" width="13.5703125" style="63" customWidth="1"/>
    <col min="11" max="11" width="10" style="63" customWidth="1"/>
    <col min="12" max="12" width="13.140625" style="63" customWidth="1"/>
    <col min="13" max="18" width="9.140625" style="63"/>
    <col min="19" max="19" width="10.42578125" style="63" bestFit="1" customWidth="1"/>
    <col min="20" max="16384" width="9.140625" style="59"/>
  </cols>
  <sheetData>
    <row r="1" spans="1:19" s="61" customFormat="1" ht="20.25" customHeight="1">
      <c r="A1" s="5" t="s">
        <v>767</v>
      </c>
      <c r="B1" s="6"/>
      <c r="C1" s="6"/>
      <c r="D1" s="6"/>
      <c r="E1" s="6"/>
      <c r="F1" s="6"/>
      <c r="G1" s="6"/>
      <c r="I1" s="39"/>
      <c r="J1" s="60"/>
      <c r="K1" s="60"/>
      <c r="L1" s="60"/>
      <c r="M1" s="60"/>
      <c r="N1" s="60"/>
      <c r="O1" s="60"/>
      <c r="P1" s="60"/>
      <c r="Q1" s="60"/>
      <c r="R1" s="60"/>
      <c r="S1" s="60"/>
    </row>
    <row r="2" spans="1:19" ht="13.5" customHeight="1">
      <c r="A2" s="57" t="s">
        <v>172</v>
      </c>
      <c r="B2" s="57"/>
      <c r="C2" s="57"/>
      <c r="D2" s="57"/>
      <c r="E2" s="57"/>
      <c r="F2" s="57"/>
      <c r="G2" s="57"/>
      <c r="H2" s="57"/>
      <c r="I2" s="57"/>
      <c r="J2" s="62"/>
    </row>
    <row r="3" spans="1:19" ht="13.5" customHeight="1">
      <c r="A3" s="2" t="s">
        <v>173</v>
      </c>
      <c r="B3" s="3"/>
      <c r="C3" s="3"/>
      <c r="D3" s="3"/>
      <c r="E3" s="3"/>
      <c r="F3" s="1"/>
      <c r="G3" s="1"/>
      <c r="H3" s="60"/>
      <c r="I3" s="60"/>
    </row>
    <row r="4" spans="1:19" ht="13.5" customHeight="1">
      <c r="A4" s="3" t="s">
        <v>174</v>
      </c>
      <c r="B4" s="3"/>
      <c r="C4" s="3"/>
      <c r="D4" s="3"/>
      <c r="E4" s="3"/>
      <c r="F4" s="1"/>
      <c r="G4" s="1"/>
      <c r="H4" s="60"/>
      <c r="I4" s="60"/>
      <c r="J4" s="3"/>
    </row>
    <row r="5" spans="1:19" s="61" customFormat="1" ht="12.75" customHeight="1">
      <c r="A5" s="7"/>
      <c r="B5" s="7"/>
      <c r="C5" s="7"/>
      <c r="D5" s="44"/>
      <c r="E5" s="7"/>
      <c r="F5" s="43"/>
      <c r="G5" s="6"/>
      <c r="H5" s="6"/>
      <c r="I5" s="64"/>
      <c r="J5" s="60"/>
      <c r="K5" s="60"/>
      <c r="L5" s="60"/>
      <c r="M5" s="60"/>
      <c r="N5" s="60"/>
      <c r="O5" s="60"/>
      <c r="P5" s="60"/>
      <c r="Q5" s="60"/>
      <c r="R5" s="60"/>
      <c r="S5" s="60"/>
    </row>
    <row r="6" spans="1:19" s="61" customFormat="1" ht="24.75" customHeight="1">
      <c r="A6" s="8" t="s">
        <v>0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5</v>
      </c>
      <c r="G6" s="8" t="s">
        <v>6</v>
      </c>
      <c r="H6" s="8" t="s">
        <v>7</v>
      </c>
      <c r="I6" s="8" t="s">
        <v>8</v>
      </c>
      <c r="J6" s="60"/>
      <c r="K6" s="60"/>
      <c r="L6" s="60"/>
      <c r="M6" s="60"/>
      <c r="N6" s="60"/>
      <c r="O6" s="60"/>
      <c r="P6" s="60"/>
      <c r="Q6" s="60"/>
      <c r="R6" s="60"/>
      <c r="S6" s="60"/>
    </row>
    <row r="7" spans="1:19" s="61" customFormat="1" ht="12.75" customHeight="1">
      <c r="A7" s="8" t="s">
        <v>9</v>
      </c>
      <c r="B7" s="8" t="s">
        <v>10</v>
      </c>
      <c r="C7" s="8" t="s">
        <v>11</v>
      </c>
      <c r="D7" s="8" t="s">
        <v>12</v>
      </c>
      <c r="E7" s="8" t="s">
        <v>13</v>
      </c>
      <c r="F7" s="8" t="s">
        <v>14</v>
      </c>
      <c r="G7" s="8" t="s">
        <v>15</v>
      </c>
      <c r="H7" s="8">
        <v>8</v>
      </c>
      <c r="I7" s="8">
        <v>9</v>
      </c>
      <c r="J7" s="60"/>
      <c r="K7" s="60"/>
      <c r="L7" s="60"/>
      <c r="M7" s="60"/>
      <c r="N7" s="60"/>
      <c r="O7" s="60"/>
      <c r="P7" s="60"/>
      <c r="Q7" s="60"/>
      <c r="R7" s="60"/>
      <c r="S7" s="60"/>
    </row>
    <row r="8" spans="1:19" s="61" customFormat="1" ht="21" customHeight="1">
      <c r="A8" s="65"/>
      <c r="B8" s="66"/>
      <c r="C8" s="66" t="s">
        <v>16</v>
      </c>
      <c r="D8" s="66" t="s">
        <v>17</v>
      </c>
      <c r="E8" s="66"/>
      <c r="F8" s="67"/>
      <c r="G8" s="68"/>
      <c r="H8" s="68">
        <f>H9+H53+H193+H228+H299+H322+H392</f>
        <v>0</v>
      </c>
      <c r="I8" s="64"/>
      <c r="J8" s="69"/>
      <c r="K8" s="60"/>
      <c r="L8" s="60"/>
      <c r="M8" s="60"/>
      <c r="N8" s="60"/>
      <c r="O8" s="60"/>
      <c r="P8" s="60"/>
      <c r="Q8" s="60"/>
      <c r="R8" s="60"/>
      <c r="S8" s="60"/>
    </row>
    <row r="9" spans="1:19" s="61" customFormat="1" ht="13.5" customHeight="1">
      <c r="A9" s="70"/>
      <c r="B9" s="71"/>
      <c r="C9" s="71">
        <v>1</v>
      </c>
      <c r="D9" s="71" t="s">
        <v>40</v>
      </c>
      <c r="E9" s="71"/>
      <c r="F9" s="72"/>
      <c r="G9" s="73"/>
      <c r="H9" s="73">
        <f>SUM(H10:H52)</f>
        <v>0</v>
      </c>
      <c r="I9" s="74"/>
      <c r="J9" s="60"/>
      <c r="K9" s="60"/>
      <c r="L9" s="60"/>
      <c r="M9" s="60"/>
      <c r="N9" s="60"/>
      <c r="O9" s="60"/>
      <c r="P9" s="60"/>
      <c r="Q9" s="60"/>
      <c r="R9" s="60"/>
      <c r="S9" s="60"/>
    </row>
    <row r="10" spans="1:19" ht="13.5" customHeight="1">
      <c r="A10" s="75">
        <v>1</v>
      </c>
      <c r="B10" s="54" t="s">
        <v>175</v>
      </c>
      <c r="C10" s="54">
        <v>115101201</v>
      </c>
      <c r="D10" s="54" t="s">
        <v>176</v>
      </c>
      <c r="E10" s="54" t="s">
        <v>28</v>
      </c>
      <c r="F10" s="76">
        <v>200</v>
      </c>
      <c r="G10" s="4"/>
      <c r="H10" s="77">
        <f>F10*G10</f>
        <v>0</v>
      </c>
      <c r="I10" s="78" t="s">
        <v>183</v>
      </c>
      <c r="K10" s="79"/>
    </row>
    <row r="11" spans="1:19" ht="13.5" customHeight="1">
      <c r="A11" s="75">
        <v>2</v>
      </c>
      <c r="B11" s="54" t="s">
        <v>175</v>
      </c>
      <c r="C11" s="54">
        <v>115101301</v>
      </c>
      <c r="D11" s="54" t="s">
        <v>177</v>
      </c>
      <c r="E11" s="54" t="s">
        <v>178</v>
      </c>
      <c r="F11" s="76">
        <v>25</v>
      </c>
      <c r="G11" s="4"/>
      <c r="H11" s="77">
        <f>F11*G11</f>
        <v>0</v>
      </c>
      <c r="I11" s="78" t="s">
        <v>183</v>
      </c>
      <c r="K11" s="79"/>
    </row>
    <row r="12" spans="1:19" ht="13.5" customHeight="1">
      <c r="A12" s="75">
        <v>3</v>
      </c>
      <c r="B12" s="54" t="s">
        <v>175</v>
      </c>
      <c r="C12" s="54">
        <v>119001401</v>
      </c>
      <c r="D12" s="54" t="s">
        <v>697</v>
      </c>
      <c r="E12" s="54" t="s">
        <v>67</v>
      </c>
      <c r="F12" s="80">
        <v>15</v>
      </c>
      <c r="G12" s="4"/>
      <c r="H12" s="77">
        <f>F12*G12</f>
        <v>0</v>
      </c>
      <c r="I12" s="78" t="s">
        <v>195</v>
      </c>
    </row>
    <row r="13" spans="1:19" ht="13.5" customHeight="1">
      <c r="A13" s="75">
        <v>4</v>
      </c>
      <c r="B13" s="54" t="s">
        <v>175</v>
      </c>
      <c r="C13" s="54" t="s">
        <v>179</v>
      </c>
      <c r="D13" s="54" t="s">
        <v>180</v>
      </c>
      <c r="E13" s="54" t="s">
        <v>67</v>
      </c>
      <c r="F13" s="80">
        <v>30</v>
      </c>
      <c r="G13" s="4"/>
      <c r="H13" s="77">
        <f>F13*G13</f>
        <v>0</v>
      </c>
      <c r="I13" s="78" t="s">
        <v>183</v>
      </c>
      <c r="J13" s="81"/>
    </row>
    <row r="14" spans="1:19" s="61" customFormat="1" ht="13.5" customHeight="1">
      <c r="A14" s="82" t="s">
        <v>13</v>
      </c>
      <c r="B14" s="46" t="s">
        <v>175</v>
      </c>
      <c r="C14" s="46">
        <v>130001101</v>
      </c>
      <c r="D14" s="46" t="s">
        <v>181</v>
      </c>
      <c r="E14" s="46" t="s">
        <v>27</v>
      </c>
      <c r="F14" s="50">
        <f>F15</f>
        <v>131.75700000000001</v>
      </c>
      <c r="G14" s="11"/>
      <c r="H14" s="47">
        <f>F14*G14</f>
        <v>0</v>
      </c>
      <c r="I14" s="78" t="s">
        <v>183</v>
      </c>
      <c r="J14" s="60"/>
      <c r="K14" s="63"/>
      <c r="L14" s="60"/>
      <c r="M14" s="60"/>
      <c r="N14" s="60"/>
      <c r="O14" s="60"/>
      <c r="P14" s="60"/>
      <c r="Q14" s="60"/>
      <c r="R14" s="60"/>
      <c r="S14" s="60"/>
    </row>
    <row r="15" spans="1:19" s="84" customFormat="1" ht="13.5" customHeight="1">
      <c r="A15" s="45"/>
      <c r="B15" s="51"/>
      <c r="C15" s="46"/>
      <c r="D15" s="83" t="s">
        <v>303</v>
      </c>
      <c r="E15" s="46"/>
      <c r="F15" s="52">
        <f>(988.18+329.39)*0.1</f>
        <v>131.75700000000001</v>
      </c>
      <c r="G15" s="47"/>
      <c r="H15" s="47"/>
      <c r="I15" s="48"/>
      <c r="K15" s="63"/>
    </row>
    <row r="16" spans="1:19" s="61" customFormat="1" ht="13.5" customHeight="1">
      <c r="A16" s="85">
        <v>6</v>
      </c>
      <c r="B16" s="51" t="s">
        <v>175</v>
      </c>
      <c r="C16" s="46">
        <v>131201102</v>
      </c>
      <c r="D16" s="46" t="s">
        <v>366</v>
      </c>
      <c r="E16" s="46" t="s">
        <v>27</v>
      </c>
      <c r="F16" s="50">
        <f>SUM(F18:F19)</f>
        <v>988.17675000000008</v>
      </c>
      <c r="G16" s="11"/>
      <c r="H16" s="47">
        <f>F16*G16</f>
        <v>0</v>
      </c>
      <c r="I16" s="78" t="s">
        <v>183</v>
      </c>
      <c r="J16" s="60"/>
      <c r="K16" s="86"/>
      <c r="L16" s="87"/>
      <c r="M16" s="60"/>
      <c r="N16" s="60"/>
      <c r="O16" s="60"/>
      <c r="P16" s="60"/>
      <c r="Q16" s="60"/>
      <c r="R16" s="60"/>
      <c r="S16" s="60"/>
    </row>
    <row r="17" spans="1:19" s="61" customFormat="1" ht="13.5" customHeight="1">
      <c r="A17" s="85"/>
      <c r="B17" s="51"/>
      <c r="C17" s="88"/>
      <c r="D17" s="83" t="s">
        <v>185</v>
      </c>
      <c r="E17" s="46"/>
      <c r="F17" s="50"/>
      <c r="G17" s="89"/>
      <c r="H17" s="47"/>
      <c r="I17" s="48"/>
      <c r="J17" s="60"/>
      <c r="K17" s="86"/>
      <c r="L17" s="87"/>
      <c r="M17" s="60"/>
      <c r="N17" s="60"/>
      <c r="O17" s="60"/>
      <c r="P17" s="60"/>
      <c r="Q17" s="60"/>
      <c r="R17" s="60"/>
      <c r="S17" s="60"/>
    </row>
    <row r="18" spans="1:19" s="61" customFormat="1" ht="13.5" customHeight="1">
      <c r="A18" s="85"/>
      <c r="B18" s="51"/>
      <c r="C18" s="88"/>
      <c r="D18" s="83" t="s">
        <v>299</v>
      </c>
      <c r="E18" s="46"/>
      <c r="F18" s="52">
        <f>(631.4*1.81)*0.75</f>
        <v>857.1255000000001</v>
      </c>
      <c r="G18" s="89"/>
      <c r="H18" s="47"/>
      <c r="I18" s="48"/>
      <c r="J18" s="60"/>
      <c r="K18" s="86"/>
      <c r="L18" s="87"/>
      <c r="M18" s="60"/>
      <c r="N18" s="60"/>
      <c r="O18" s="60"/>
      <c r="P18" s="60"/>
      <c r="Q18" s="60"/>
      <c r="R18" s="60"/>
      <c r="S18" s="60"/>
    </row>
    <row r="19" spans="1:19" s="61" customFormat="1" ht="13.5" customHeight="1">
      <c r="A19" s="85"/>
      <c r="B19" s="51"/>
      <c r="C19" s="88"/>
      <c r="D19" s="83" t="s">
        <v>300</v>
      </c>
      <c r="E19" s="46"/>
      <c r="F19" s="52">
        <f>(1.65*(5.65+2.5+7.01+14.71+49.73+14.71+5.2+2.55+3.84))*0.75</f>
        <v>131.05125000000001</v>
      </c>
      <c r="G19" s="89"/>
      <c r="H19" s="47"/>
      <c r="I19" s="48"/>
      <c r="J19" s="60"/>
      <c r="K19" s="86"/>
      <c r="L19" s="87"/>
      <c r="M19" s="60"/>
      <c r="N19" s="60"/>
      <c r="O19" s="60"/>
      <c r="P19" s="60"/>
      <c r="Q19" s="60"/>
      <c r="R19" s="60"/>
      <c r="S19" s="60"/>
    </row>
    <row r="20" spans="1:19" s="84" customFormat="1" ht="13.5" customHeight="1">
      <c r="A20" s="82" t="s">
        <v>15</v>
      </c>
      <c r="B20" s="51" t="s">
        <v>175</v>
      </c>
      <c r="C20" s="46">
        <v>131201109</v>
      </c>
      <c r="D20" s="46" t="s">
        <v>184</v>
      </c>
      <c r="E20" s="46" t="s">
        <v>27</v>
      </c>
      <c r="F20" s="50">
        <f>SUM(F21)</f>
        <v>494.09</v>
      </c>
      <c r="G20" s="11"/>
      <c r="H20" s="47">
        <f>F20*G20</f>
        <v>0</v>
      </c>
      <c r="I20" s="48" t="s">
        <v>183</v>
      </c>
      <c r="J20" s="63"/>
      <c r="K20" s="63"/>
    </row>
    <row r="21" spans="1:19" s="84" customFormat="1" ht="13.5" customHeight="1">
      <c r="A21" s="45"/>
      <c r="B21" s="51"/>
      <c r="C21" s="46"/>
      <c r="D21" s="83" t="s">
        <v>304</v>
      </c>
      <c r="E21" s="46"/>
      <c r="F21" s="52">
        <f>(988.18)*0.5</f>
        <v>494.09</v>
      </c>
      <c r="G21" s="47"/>
      <c r="H21" s="47"/>
      <c r="I21" s="48"/>
      <c r="J21" s="90"/>
      <c r="K21" s="63"/>
      <c r="L21" s="91"/>
    </row>
    <row r="22" spans="1:19" s="61" customFormat="1" ht="13.5" customHeight="1">
      <c r="A22" s="85">
        <v>8</v>
      </c>
      <c r="B22" s="51" t="s">
        <v>175</v>
      </c>
      <c r="C22" s="46">
        <v>131301102</v>
      </c>
      <c r="D22" s="46" t="s">
        <v>196</v>
      </c>
      <c r="E22" s="46" t="s">
        <v>27</v>
      </c>
      <c r="F22" s="50">
        <f>SUM(F24:F25)</f>
        <v>329.39224999999999</v>
      </c>
      <c r="G22" s="11"/>
      <c r="H22" s="47">
        <f>F22*G22</f>
        <v>0</v>
      </c>
      <c r="I22" s="48" t="s">
        <v>183</v>
      </c>
      <c r="J22" s="60"/>
      <c r="K22" s="63"/>
      <c r="L22" s="60"/>
      <c r="M22" s="60"/>
      <c r="N22" s="60"/>
      <c r="O22" s="60"/>
      <c r="P22" s="60"/>
      <c r="Q22" s="60"/>
      <c r="R22" s="60"/>
      <c r="S22" s="60"/>
    </row>
    <row r="23" spans="1:19" s="61" customFormat="1" ht="13.5" customHeight="1">
      <c r="A23" s="85"/>
      <c r="B23" s="51"/>
      <c r="C23" s="88"/>
      <c r="D23" s="83" t="s">
        <v>186</v>
      </c>
      <c r="E23" s="46"/>
      <c r="F23" s="50"/>
      <c r="G23" s="89"/>
      <c r="H23" s="47"/>
      <c r="I23" s="48"/>
      <c r="J23" s="60"/>
      <c r="K23" s="63"/>
      <c r="L23" s="60"/>
      <c r="M23" s="60"/>
      <c r="N23" s="60"/>
      <c r="O23" s="60"/>
      <c r="P23" s="60"/>
      <c r="Q23" s="60"/>
      <c r="R23" s="60"/>
      <c r="S23" s="60"/>
    </row>
    <row r="24" spans="1:19" s="61" customFormat="1" ht="13.5" customHeight="1">
      <c r="A24" s="85"/>
      <c r="B24" s="51"/>
      <c r="C24" s="88"/>
      <c r="D24" s="83" t="s">
        <v>302</v>
      </c>
      <c r="E24" s="46"/>
      <c r="F24" s="52">
        <f>(631.4*1.81)*0.25</f>
        <v>285.70850000000002</v>
      </c>
      <c r="G24" s="89"/>
      <c r="H24" s="47"/>
      <c r="I24" s="48"/>
      <c r="J24" s="60"/>
      <c r="K24" s="60"/>
      <c r="L24" s="60"/>
      <c r="M24" s="60"/>
      <c r="N24" s="60"/>
      <c r="O24" s="60"/>
      <c r="P24" s="60"/>
      <c r="Q24" s="60"/>
      <c r="R24" s="60"/>
      <c r="S24" s="60"/>
    </row>
    <row r="25" spans="1:19" s="61" customFormat="1" ht="13.5" customHeight="1">
      <c r="A25" s="85"/>
      <c r="B25" s="51"/>
      <c r="C25" s="88"/>
      <c r="D25" s="83" t="s">
        <v>301</v>
      </c>
      <c r="E25" s="46"/>
      <c r="F25" s="52">
        <f>(1.65*(5.65+2.5+7.01+14.71+49.73+14.71+5.2+2.55+3.84))*0.25</f>
        <v>43.683750000000003</v>
      </c>
      <c r="G25" s="89"/>
      <c r="H25" s="47"/>
      <c r="I25" s="48"/>
      <c r="J25" s="60"/>
      <c r="K25" s="60"/>
      <c r="L25" s="60"/>
      <c r="M25" s="60"/>
      <c r="N25" s="60"/>
      <c r="O25" s="60"/>
      <c r="P25" s="60"/>
      <c r="Q25" s="60"/>
      <c r="R25" s="60"/>
      <c r="S25" s="60"/>
    </row>
    <row r="26" spans="1:19" s="84" customFormat="1" ht="13.5" customHeight="1">
      <c r="A26" s="82" t="s">
        <v>72</v>
      </c>
      <c r="B26" s="51" t="s">
        <v>175</v>
      </c>
      <c r="C26" s="46">
        <v>131301109</v>
      </c>
      <c r="D26" s="46" t="s">
        <v>197</v>
      </c>
      <c r="E26" s="46" t="s">
        <v>27</v>
      </c>
      <c r="F26" s="50">
        <f>SUM(F27)</f>
        <v>164.69499999999999</v>
      </c>
      <c r="G26" s="11"/>
      <c r="H26" s="47">
        <f>F26*G26</f>
        <v>0</v>
      </c>
      <c r="I26" s="48" t="s">
        <v>183</v>
      </c>
      <c r="J26" s="60"/>
      <c r="K26" s="60"/>
      <c r="L26" s="60"/>
      <c r="M26" s="91"/>
    </row>
    <row r="27" spans="1:19" s="84" customFormat="1" ht="13.5" customHeight="1">
      <c r="A27" s="45"/>
      <c r="B27" s="51"/>
      <c r="C27" s="46"/>
      <c r="D27" s="83" t="s">
        <v>305</v>
      </c>
      <c r="E27" s="46"/>
      <c r="F27" s="52">
        <f>(329.39)*0.5</f>
        <v>164.69499999999999</v>
      </c>
      <c r="G27" s="47"/>
      <c r="H27" s="47"/>
      <c r="I27" s="48"/>
      <c r="J27" s="60"/>
      <c r="K27" s="60"/>
      <c r="L27" s="60"/>
    </row>
    <row r="28" spans="1:19" s="84" customFormat="1" ht="13.5" customHeight="1">
      <c r="A28" s="85">
        <v>10</v>
      </c>
      <c r="B28" s="51" t="s">
        <v>175</v>
      </c>
      <c r="C28" s="46">
        <v>132201201</v>
      </c>
      <c r="D28" s="46" t="s">
        <v>189</v>
      </c>
      <c r="E28" s="46" t="s">
        <v>27</v>
      </c>
      <c r="F28" s="50">
        <f>SUM(F30:F33)</f>
        <v>14.585624999999999</v>
      </c>
      <c r="G28" s="11"/>
      <c r="H28" s="47">
        <f>F28*G28</f>
        <v>0</v>
      </c>
      <c r="I28" s="48" t="s">
        <v>183</v>
      </c>
      <c r="J28" s="60"/>
      <c r="K28" s="60"/>
      <c r="L28" s="60"/>
      <c r="M28" s="92"/>
    </row>
    <row r="29" spans="1:19" s="84" customFormat="1" ht="13.5" customHeight="1">
      <c r="A29" s="85"/>
      <c r="B29" s="51"/>
      <c r="C29" s="46"/>
      <c r="D29" s="83" t="s">
        <v>306</v>
      </c>
      <c r="E29" s="46"/>
      <c r="F29" s="50"/>
      <c r="G29" s="47"/>
      <c r="H29" s="47"/>
      <c r="I29" s="48"/>
      <c r="J29" s="60"/>
      <c r="K29" s="60"/>
      <c r="L29" s="60"/>
      <c r="M29" s="92"/>
    </row>
    <row r="30" spans="1:19" s="84" customFormat="1" ht="13.5" customHeight="1">
      <c r="A30" s="85"/>
      <c r="B30" s="51"/>
      <c r="C30" s="46"/>
      <c r="D30" s="83" t="s">
        <v>307</v>
      </c>
      <c r="E30" s="46"/>
      <c r="F30" s="52">
        <f>((19.15+4.05+1.92+0.49)*0.2+(1.08+1.05)*0.35)*0.75</f>
        <v>4.4006249999999998</v>
      </c>
      <c r="G30" s="47"/>
      <c r="H30" s="47"/>
      <c r="I30" s="48"/>
      <c r="J30" s="60"/>
      <c r="K30" s="60"/>
      <c r="L30" s="60"/>
      <c r="M30" s="92"/>
    </row>
    <row r="31" spans="1:19" s="84" customFormat="1" ht="13.5" customHeight="1">
      <c r="A31" s="85"/>
      <c r="B31" s="51"/>
      <c r="C31" s="88"/>
      <c r="D31" s="83" t="s">
        <v>199</v>
      </c>
      <c r="E31" s="46"/>
      <c r="F31" s="50"/>
      <c r="G31" s="89"/>
      <c r="H31" s="47"/>
      <c r="I31" s="48"/>
      <c r="J31" s="60"/>
      <c r="K31" s="60"/>
      <c r="L31" s="60"/>
      <c r="M31" s="93"/>
    </row>
    <row r="32" spans="1:19" s="84" customFormat="1" ht="13.5" customHeight="1">
      <c r="A32" s="45"/>
      <c r="B32" s="51"/>
      <c r="C32" s="46"/>
      <c r="D32" s="83" t="s">
        <v>310</v>
      </c>
      <c r="E32" s="46"/>
      <c r="F32" s="52">
        <f>((1*1*10)*0.35)*0.75</f>
        <v>2.625</v>
      </c>
      <c r="G32" s="47"/>
      <c r="H32" s="47"/>
      <c r="I32" s="48"/>
      <c r="J32" s="60"/>
      <c r="K32" s="60"/>
      <c r="L32" s="60"/>
    </row>
    <row r="33" spans="1:19" s="84" customFormat="1" ht="13.5" customHeight="1">
      <c r="A33" s="45"/>
      <c r="B33" s="51"/>
      <c r="C33" s="46"/>
      <c r="D33" s="83" t="s">
        <v>311</v>
      </c>
      <c r="E33" s="46"/>
      <c r="F33" s="52">
        <f>((1.2*1.2*20)*0.35)*0.75</f>
        <v>7.5599999999999987</v>
      </c>
      <c r="G33" s="47"/>
      <c r="H33" s="47"/>
      <c r="I33" s="48"/>
      <c r="J33" s="60"/>
      <c r="K33" s="60"/>
      <c r="L33" s="60"/>
    </row>
    <row r="34" spans="1:19" s="84" customFormat="1" ht="13.5" customHeight="1">
      <c r="A34" s="82" t="s">
        <v>413</v>
      </c>
      <c r="B34" s="51" t="s">
        <v>175</v>
      </c>
      <c r="C34" s="46">
        <v>132201209</v>
      </c>
      <c r="D34" s="46" t="s">
        <v>190</v>
      </c>
      <c r="E34" s="46" t="s">
        <v>27</v>
      </c>
      <c r="F34" s="50">
        <f>SUM(F35)</f>
        <v>7.2949999999999999</v>
      </c>
      <c r="G34" s="11"/>
      <c r="H34" s="47">
        <f>F34*G34</f>
        <v>0</v>
      </c>
      <c r="I34" s="48" t="s">
        <v>183</v>
      </c>
      <c r="J34" s="60"/>
      <c r="K34" s="60"/>
      <c r="L34" s="60"/>
    </row>
    <row r="35" spans="1:19" s="84" customFormat="1" ht="13.5" customHeight="1">
      <c r="A35" s="45"/>
      <c r="B35" s="51"/>
      <c r="C35" s="46"/>
      <c r="D35" s="83" t="s">
        <v>735</v>
      </c>
      <c r="E35" s="46"/>
      <c r="F35" s="52">
        <f>(14.59)*0.5</f>
        <v>7.2949999999999999</v>
      </c>
      <c r="G35" s="47"/>
      <c r="H35" s="47"/>
      <c r="I35" s="48"/>
      <c r="J35" s="60"/>
      <c r="K35" s="60"/>
      <c r="L35" s="60"/>
    </row>
    <row r="36" spans="1:19" s="84" customFormat="1" ht="13.5" customHeight="1">
      <c r="A36" s="85">
        <v>12</v>
      </c>
      <c r="B36" s="51" t="s">
        <v>175</v>
      </c>
      <c r="C36" s="46">
        <v>132301201</v>
      </c>
      <c r="D36" s="46" t="s">
        <v>188</v>
      </c>
      <c r="E36" s="46" t="s">
        <v>27</v>
      </c>
      <c r="F36" s="50">
        <f>SUM(F38:F41)</f>
        <v>4.8618749999999995</v>
      </c>
      <c r="G36" s="11"/>
      <c r="H36" s="47">
        <f>F36*G36</f>
        <v>0</v>
      </c>
      <c r="I36" s="48" t="s">
        <v>183</v>
      </c>
      <c r="J36" s="60"/>
      <c r="K36" s="60"/>
      <c r="L36" s="60"/>
    </row>
    <row r="37" spans="1:19" s="84" customFormat="1" ht="13.5" customHeight="1">
      <c r="A37" s="85"/>
      <c r="B37" s="51"/>
      <c r="C37" s="46"/>
      <c r="D37" s="83" t="s">
        <v>308</v>
      </c>
      <c r="E37" s="46"/>
      <c r="F37" s="50"/>
      <c r="G37" s="47"/>
      <c r="H37" s="47"/>
      <c r="I37" s="48"/>
      <c r="J37" s="60"/>
      <c r="K37" s="60"/>
      <c r="L37" s="60"/>
      <c r="M37" s="92"/>
    </row>
    <row r="38" spans="1:19" s="84" customFormat="1" ht="13.5" customHeight="1">
      <c r="A38" s="85"/>
      <c r="B38" s="51"/>
      <c r="C38" s="46"/>
      <c r="D38" s="83" t="s">
        <v>309</v>
      </c>
      <c r="E38" s="46"/>
      <c r="F38" s="52">
        <f>((19.15+4.05+1.92+0.49)*0.2+(1.08+1.05)*0.35)*0.25</f>
        <v>1.4668749999999999</v>
      </c>
      <c r="G38" s="47"/>
      <c r="H38" s="47"/>
      <c r="I38" s="48"/>
      <c r="J38" s="60"/>
      <c r="K38" s="60"/>
      <c r="L38" s="60"/>
      <c r="M38" s="92"/>
    </row>
    <row r="39" spans="1:19" s="84" customFormat="1" ht="13.5" customHeight="1">
      <c r="A39" s="85"/>
      <c r="B39" s="51"/>
      <c r="C39" s="88"/>
      <c r="D39" s="83" t="s">
        <v>200</v>
      </c>
      <c r="E39" s="46"/>
      <c r="F39" s="50"/>
      <c r="G39" s="89"/>
      <c r="H39" s="47"/>
      <c r="I39" s="48"/>
      <c r="J39" s="60"/>
      <c r="K39" s="60"/>
      <c r="L39" s="60"/>
    </row>
    <row r="40" spans="1:19" s="84" customFormat="1" ht="13.5" customHeight="1">
      <c r="A40" s="45"/>
      <c r="B40" s="51"/>
      <c r="C40" s="46"/>
      <c r="D40" s="83" t="s">
        <v>312</v>
      </c>
      <c r="E40" s="46"/>
      <c r="F40" s="52">
        <f>((1*1*10)*0.35)*0.25</f>
        <v>0.875</v>
      </c>
      <c r="G40" s="47"/>
      <c r="H40" s="47"/>
      <c r="I40" s="48"/>
      <c r="K40" s="63"/>
    </row>
    <row r="41" spans="1:19" s="84" customFormat="1" ht="13.5" customHeight="1">
      <c r="A41" s="45"/>
      <c r="B41" s="51"/>
      <c r="C41" s="46"/>
      <c r="D41" s="83" t="s">
        <v>313</v>
      </c>
      <c r="E41" s="46"/>
      <c r="F41" s="52">
        <f>((1.2*1.2*20)*0.35)*0.25</f>
        <v>2.5199999999999996</v>
      </c>
      <c r="G41" s="47"/>
      <c r="H41" s="47"/>
      <c r="I41" s="48"/>
      <c r="J41" s="94"/>
      <c r="K41" s="63"/>
    </row>
    <row r="42" spans="1:19" s="84" customFormat="1" ht="13.5" customHeight="1">
      <c r="A42" s="82" t="s">
        <v>414</v>
      </c>
      <c r="B42" s="51" t="s">
        <v>175</v>
      </c>
      <c r="C42" s="46">
        <v>132301209</v>
      </c>
      <c r="D42" s="46" t="s">
        <v>191</v>
      </c>
      <c r="E42" s="46" t="s">
        <v>27</v>
      </c>
      <c r="F42" s="50">
        <f>SUM(F43)</f>
        <v>2.4300000000000002</v>
      </c>
      <c r="G42" s="11"/>
      <c r="H42" s="47">
        <f>F42*G42</f>
        <v>0</v>
      </c>
      <c r="I42" s="48" t="s">
        <v>183</v>
      </c>
      <c r="K42" s="63"/>
    </row>
    <row r="43" spans="1:19" s="84" customFormat="1" ht="13.5" customHeight="1">
      <c r="A43" s="45"/>
      <c r="B43" s="51"/>
      <c r="C43" s="46"/>
      <c r="D43" s="83" t="s">
        <v>314</v>
      </c>
      <c r="E43" s="46"/>
      <c r="F43" s="52">
        <f>(4.86)*0.5</f>
        <v>2.4300000000000002</v>
      </c>
      <c r="G43" s="47"/>
      <c r="H43" s="47"/>
      <c r="I43" s="48"/>
      <c r="K43" s="63"/>
    </row>
    <row r="44" spans="1:19" s="84" customFormat="1" ht="13.5" customHeight="1">
      <c r="A44" s="82" t="s">
        <v>698</v>
      </c>
      <c r="B44" s="51" t="s">
        <v>175</v>
      </c>
      <c r="C44" s="46">
        <v>161101101</v>
      </c>
      <c r="D44" s="46" t="s">
        <v>187</v>
      </c>
      <c r="E44" s="46" t="s">
        <v>27</v>
      </c>
      <c r="F44" s="50">
        <f>SUM(F45:F46)</f>
        <v>58.977099999999993</v>
      </c>
      <c r="G44" s="11"/>
      <c r="H44" s="47">
        <f>F44*G44</f>
        <v>0</v>
      </c>
      <c r="I44" s="48" t="s">
        <v>183</v>
      </c>
      <c r="J44" s="95"/>
      <c r="K44" s="63"/>
    </row>
    <row r="45" spans="1:19" s="84" customFormat="1" ht="13.5" customHeight="1">
      <c r="A45" s="45"/>
      <c r="B45" s="51"/>
      <c r="C45" s="46"/>
      <c r="D45" s="42" t="s">
        <v>316</v>
      </c>
      <c r="E45" s="46"/>
      <c r="F45" s="52">
        <f>(988.18+329.39)*0.03</f>
        <v>39.527099999999997</v>
      </c>
      <c r="G45" s="47"/>
      <c r="H45" s="47"/>
      <c r="I45" s="48"/>
      <c r="K45" s="63"/>
    </row>
    <row r="46" spans="1:19" s="84" customFormat="1" ht="13.5" customHeight="1">
      <c r="A46" s="45"/>
      <c r="B46" s="51"/>
      <c r="C46" s="46"/>
      <c r="D46" s="42" t="s">
        <v>315</v>
      </c>
      <c r="E46" s="46"/>
      <c r="F46" s="52">
        <f>(14.59+4.86)*1</f>
        <v>19.45</v>
      </c>
      <c r="G46" s="47"/>
      <c r="H46" s="47"/>
      <c r="I46" s="48"/>
      <c r="K46" s="63"/>
    </row>
    <row r="47" spans="1:19" s="60" customFormat="1" ht="13.5" customHeight="1">
      <c r="A47" s="45">
        <v>15</v>
      </c>
      <c r="B47" s="51" t="s">
        <v>175</v>
      </c>
      <c r="C47" s="46">
        <v>174101101</v>
      </c>
      <c r="D47" s="46" t="s">
        <v>39</v>
      </c>
      <c r="E47" s="46" t="s">
        <v>27</v>
      </c>
      <c r="F47" s="96">
        <f>SUM(F48)</f>
        <v>349.48</v>
      </c>
      <c r="G47" s="11"/>
      <c r="H47" s="47">
        <f>F47*G47</f>
        <v>0</v>
      </c>
      <c r="I47" s="48" t="s">
        <v>183</v>
      </c>
      <c r="K47" s="97"/>
    </row>
    <row r="48" spans="1:19" s="61" customFormat="1" ht="13.5" customHeight="1">
      <c r="A48" s="82"/>
      <c r="B48" s="46"/>
      <c r="C48" s="46"/>
      <c r="D48" s="42" t="s">
        <v>342</v>
      </c>
      <c r="E48" s="46"/>
      <c r="F48" s="52">
        <f>174.74+174.74</f>
        <v>349.48</v>
      </c>
      <c r="G48" s="47"/>
      <c r="H48" s="47"/>
      <c r="I48" s="98"/>
      <c r="J48" s="94"/>
      <c r="K48" s="60"/>
      <c r="L48" s="60"/>
      <c r="M48" s="60"/>
      <c r="N48" s="60"/>
      <c r="O48" s="60"/>
      <c r="P48" s="60"/>
      <c r="Q48" s="60"/>
      <c r="R48" s="60"/>
      <c r="S48" s="60"/>
    </row>
    <row r="49" spans="1:19" s="60" customFormat="1" ht="13.5" customHeight="1">
      <c r="A49" s="99">
        <v>16</v>
      </c>
      <c r="B49" s="100">
        <v>583</v>
      </c>
      <c r="C49" s="100">
        <v>58337344</v>
      </c>
      <c r="D49" s="100" t="s">
        <v>128</v>
      </c>
      <c r="E49" s="100" t="s">
        <v>35</v>
      </c>
      <c r="F49" s="101">
        <f>SUM(F50)</f>
        <v>698.96</v>
      </c>
      <c r="G49" s="41"/>
      <c r="H49" s="102">
        <f>F49*G49</f>
        <v>0</v>
      </c>
      <c r="I49" s="103" t="s">
        <v>183</v>
      </c>
      <c r="K49" s="97"/>
    </row>
    <row r="50" spans="1:19" s="60" customFormat="1" ht="13.5" customHeight="1">
      <c r="A50" s="104"/>
      <c r="B50" s="105"/>
      <c r="C50" s="105"/>
      <c r="D50" s="106" t="s">
        <v>343</v>
      </c>
      <c r="E50" s="105"/>
      <c r="F50" s="107">
        <f>(349.48)*2</f>
        <v>698.96</v>
      </c>
      <c r="G50" s="108"/>
      <c r="H50" s="108"/>
      <c r="I50" s="109"/>
      <c r="K50" s="97"/>
    </row>
    <row r="51" spans="1:19" s="84" customFormat="1" ht="13.5" customHeight="1">
      <c r="A51" s="82" t="s">
        <v>699</v>
      </c>
      <c r="B51" s="51" t="s">
        <v>175</v>
      </c>
      <c r="C51" s="46">
        <v>181951101</v>
      </c>
      <c r="D51" s="46" t="s">
        <v>182</v>
      </c>
      <c r="E51" s="46" t="s">
        <v>21</v>
      </c>
      <c r="F51" s="50">
        <f>SUM(F52)</f>
        <v>631.4</v>
      </c>
      <c r="G51" s="11"/>
      <c r="H51" s="47">
        <f>F51*G51</f>
        <v>0</v>
      </c>
      <c r="I51" s="48" t="s">
        <v>183</v>
      </c>
      <c r="J51" s="95"/>
      <c r="K51" s="63"/>
    </row>
    <row r="52" spans="1:19" s="84" customFormat="1" ht="13.5" customHeight="1">
      <c r="A52" s="45"/>
      <c r="B52" s="51"/>
      <c r="C52" s="46"/>
      <c r="D52" s="42" t="s">
        <v>317</v>
      </c>
      <c r="E52" s="46"/>
      <c r="F52" s="52">
        <f>(631.4)</f>
        <v>631.4</v>
      </c>
      <c r="G52" s="47"/>
      <c r="H52" s="47"/>
      <c r="I52" s="48"/>
      <c r="K52" s="110"/>
    </row>
    <row r="53" spans="1:19" s="61" customFormat="1" ht="13.5" customHeight="1">
      <c r="A53" s="111"/>
      <c r="B53" s="112"/>
      <c r="C53" s="112">
        <v>2</v>
      </c>
      <c r="D53" s="112" t="s">
        <v>33</v>
      </c>
      <c r="E53" s="112"/>
      <c r="F53" s="113"/>
      <c r="G53" s="114"/>
      <c r="H53" s="114">
        <f>SUM(H54:H192)</f>
        <v>0</v>
      </c>
      <c r="I53" s="53"/>
      <c r="J53" s="94"/>
      <c r="K53" s="60"/>
      <c r="L53" s="60"/>
      <c r="M53" s="60"/>
      <c r="N53" s="60"/>
      <c r="O53" s="60"/>
      <c r="P53" s="60"/>
      <c r="Q53" s="60"/>
      <c r="R53" s="60"/>
      <c r="S53" s="60"/>
    </row>
    <row r="54" spans="1:19" s="84" customFormat="1" ht="13.5" customHeight="1">
      <c r="A54" s="82" t="s">
        <v>700</v>
      </c>
      <c r="B54" s="51" t="s">
        <v>175</v>
      </c>
      <c r="C54" s="46">
        <v>215901101</v>
      </c>
      <c r="D54" s="46" t="s">
        <v>34</v>
      </c>
      <c r="E54" s="46" t="s">
        <v>21</v>
      </c>
      <c r="F54" s="50">
        <f>F55</f>
        <v>631.4</v>
      </c>
      <c r="G54" s="11"/>
      <c r="H54" s="47">
        <f>F54*G54</f>
        <v>0</v>
      </c>
      <c r="I54" s="78" t="s">
        <v>183</v>
      </c>
      <c r="J54" s="94"/>
      <c r="K54" s="63"/>
    </row>
    <row r="55" spans="1:19" s="84" customFormat="1" ht="13.5" customHeight="1">
      <c r="A55" s="45"/>
      <c r="B55" s="51"/>
      <c r="C55" s="46"/>
      <c r="D55" s="115" t="s">
        <v>318</v>
      </c>
      <c r="E55" s="46"/>
      <c r="F55" s="52">
        <f>631.4</f>
        <v>631.4</v>
      </c>
      <c r="G55" s="47"/>
      <c r="H55" s="47"/>
      <c r="I55" s="48"/>
      <c r="K55" s="110"/>
    </row>
    <row r="56" spans="1:19" s="61" customFormat="1" ht="13.5" customHeight="1">
      <c r="A56" s="45">
        <v>19</v>
      </c>
      <c r="B56" s="51" t="s">
        <v>559</v>
      </c>
      <c r="C56" s="46">
        <v>226212213</v>
      </c>
      <c r="D56" s="46" t="s">
        <v>560</v>
      </c>
      <c r="E56" s="46" t="s">
        <v>67</v>
      </c>
      <c r="F56" s="96">
        <f>SUM(F58)</f>
        <v>18.7</v>
      </c>
      <c r="G56" s="11"/>
      <c r="H56" s="47">
        <f>F56*G56</f>
        <v>0</v>
      </c>
      <c r="I56" s="48" t="s">
        <v>183</v>
      </c>
      <c r="J56" s="60"/>
      <c r="K56" s="60"/>
      <c r="L56" s="60"/>
      <c r="M56" s="60"/>
      <c r="N56" s="60"/>
      <c r="O56" s="60"/>
      <c r="P56" s="60"/>
      <c r="Q56" s="60"/>
      <c r="R56" s="60"/>
      <c r="S56" s="60"/>
    </row>
    <row r="57" spans="1:19" s="61" customFormat="1" ht="13.5" customHeight="1">
      <c r="A57" s="45"/>
      <c r="B57" s="51"/>
      <c r="C57" s="46"/>
      <c r="D57" s="42" t="s">
        <v>561</v>
      </c>
      <c r="E57" s="46"/>
      <c r="F57" s="96"/>
      <c r="G57" s="47"/>
      <c r="H57" s="47"/>
      <c r="I57" s="48"/>
      <c r="J57" s="60"/>
      <c r="K57" s="60"/>
      <c r="L57" s="60"/>
      <c r="M57" s="60"/>
      <c r="N57" s="60"/>
      <c r="O57" s="60"/>
      <c r="P57" s="60"/>
      <c r="Q57" s="60"/>
      <c r="R57" s="60"/>
      <c r="S57" s="60"/>
    </row>
    <row r="58" spans="1:19" s="61" customFormat="1" ht="13.5" customHeight="1">
      <c r="A58" s="45"/>
      <c r="B58" s="51"/>
      <c r="C58" s="46"/>
      <c r="D58" s="42" t="s">
        <v>562</v>
      </c>
      <c r="E58" s="46"/>
      <c r="F58" s="52">
        <f>((9+0.35)*8)*0.25</f>
        <v>18.7</v>
      </c>
      <c r="G58" s="47"/>
      <c r="H58" s="47"/>
      <c r="I58" s="48"/>
      <c r="J58" s="60"/>
      <c r="K58" s="60"/>
      <c r="L58" s="60"/>
      <c r="M58" s="60"/>
      <c r="N58" s="60"/>
      <c r="O58" s="60"/>
      <c r="P58" s="60"/>
      <c r="Q58" s="60"/>
      <c r="R58" s="60"/>
      <c r="S58" s="60"/>
    </row>
    <row r="59" spans="1:19" s="61" customFormat="1" ht="27" customHeight="1">
      <c r="A59" s="45"/>
      <c r="B59" s="51"/>
      <c r="C59" s="46"/>
      <c r="D59" s="42" t="s">
        <v>563</v>
      </c>
      <c r="E59" s="46"/>
      <c r="F59" s="96"/>
      <c r="G59" s="47"/>
      <c r="H59" s="47"/>
      <c r="I59" s="48"/>
      <c r="J59" s="60"/>
      <c r="K59" s="60"/>
      <c r="L59" s="60"/>
      <c r="M59" s="60"/>
      <c r="N59" s="60"/>
      <c r="O59" s="60"/>
      <c r="P59" s="60"/>
      <c r="Q59" s="60"/>
      <c r="R59" s="60"/>
      <c r="S59" s="60"/>
    </row>
    <row r="60" spans="1:19" s="61" customFormat="1" ht="13.5" customHeight="1">
      <c r="A60" s="45">
        <v>20</v>
      </c>
      <c r="B60" s="51" t="s">
        <v>559</v>
      </c>
      <c r="C60" s="46">
        <v>226212214</v>
      </c>
      <c r="D60" s="46" t="s">
        <v>564</v>
      </c>
      <c r="E60" s="46" t="s">
        <v>67</v>
      </c>
      <c r="F60" s="96">
        <f>SUM(F62)</f>
        <v>48.62</v>
      </c>
      <c r="G60" s="11"/>
      <c r="H60" s="47">
        <f>F60*G60</f>
        <v>0</v>
      </c>
      <c r="I60" s="48" t="s">
        <v>183</v>
      </c>
      <c r="J60" s="116"/>
      <c r="K60" s="60"/>
      <c r="L60" s="60"/>
      <c r="M60" s="60"/>
      <c r="N60" s="60"/>
      <c r="O60" s="60"/>
      <c r="P60" s="60"/>
      <c r="Q60" s="60"/>
      <c r="R60" s="60"/>
      <c r="S60" s="60"/>
    </row>
    <row r="61" spans="1:19" s="61" customFormat="1" ht="13.5" customHeight="1">
      <c r="A61" s="45"/>
      <c r="B61" s="51"/>
      <c r="C61" s="46"/>
      <c r="D61" s="42" t="s">
        <v>565</v>
      </c>
      <c r="E61" s="46"/>
      <c r="F61" s="96"/>
      <c r="G61" s="47"/>
      <c r="H61" s="47"/>
      <c r="I61" s="48"/>
      <c r="J61" s="60"/>
      <c r="K61" s="60"/>
      <c r="L61" s="60"/>
      <c r="M61" s="60"/>
      <c r="N61" s="60"/>
      <c r="O61" s="60"/>
      <c r="P61" s="60"/>
      <c r="Q61" s="60"/>
      <c r="R61" s="60"/>
      <c r="S61" s="60"/>
    </row>
    <row r="62" spans="1:19" s="61" customFormat="1" ht="13.5" customHeight="1">
      <c r="A62" s="45"/>
      <c r="B62" s="51"/>
      <c r="C62" s="46"/>
      <c r="D62" s="42" t="s">
        <v>566</v>
      </c>
      <c r="E62" s="46"/>
      <c r="F62" s="52">
        <f>((9+0.35)*8)*0.65</f>
        <v>48.62</v>
      </c>
      <c r="G62" s="47"/>
      <c r="H62" s="47"/>
      <c r="I62" s="48"/>
      <c r="J62" s="60"/>
      <c r="K62" s="60"/>
      <c r="L62" s="60"/>
      <c r="M62" s="60"/>
      <c r="N62" s="60"/>
      <c r="O62" s="60"/>
      <c r="P62" s="60"/>
      <c r="Q62" s="60"/>
      <c r="R62" s="60"/>
      <c r="S62" s="60"/>
    </row>
    <row r="63" spans="1:19" s="61" customFormat="1" ht="27" customHeight="1">
      <c r="A63" s="45"/>
      <c r="B63" s="51"/>
      <c r="C63" s="46"/>
      <c r="D63" s="42" t="s">
        <v>563</v>
      </c>
      <c r="E63" s="46"/>
      <c r="F63" s="96"/>
      <c r="G63" s="47"/>
      <c r="H63" s="47"/>
      <c r="I63" s="48"/>
      <c r="J63" s="60"/>
      <c r="K63" s="60"/>
      <c r="L63" s="60"/>
      <c r="M63" s="60"/>
      <c r="N63" s="60"/>
      <c r="O63" s="60"/>
      <c r="P63" s="60"/>
      <c r="Q63" s="60"/>
      <c r="R63" s="60"/>
      <c r="S63" s="60"/>
    </row>
    <row r="64" spans="1:19" s="61" customFormat="1" ht="13.5" customHeight="1">
      <c r="A64" s="45">
        <v>21</v>
      </c>
      <c r="B64" s="51" t="s">
        <v>559</v>
      </c>
      <c r="C64" s="46">
        <v>226212215</v>
      </c>
      <c r="D64" s="46" t="s">
        <v>567</v>
      </c>
      <c r="E64" s="46" t="s">
        <v>67</v>
      </c>
      <c r="F64" s="96">
        <f>SUM(F66)</f>
        <v>7.48</v>
      </c>
      <c r="G64" s="11"/>
      <c r="H64" s="47">
        <f>F64*G64</f>
        <v>0</v>
      </c>
      <c r="I64" s="48" t="s">
        <v>183</v>
      </c>
      <c r="J64" s="60"/>
      <c r="K64" s="60"/>
      <c r="L64" s="60"/>
      <c r="M64" s="60"/>
      <c r="N64" s="60"/>
      <c r="O64" s="60"/>
      <c r="P64" s="60"/>
      <c r="Q64" s="60"/>
      <c r="R64" s="60"/>
      <c r="S64" s="60"/>
    </row>
    <row r="65" spans="1:19" s="61" customFormat="1" ht="13.5" customHeight="1">
      <c r="A65" s="45"/>
      <c r="B65" s="51"/>
      <c r="C65" s="46"/>
      <c r="D65" s="42" t="s">
        <v>568</v>
      </c>
      <c r="E65" s="46"/>
      <c r="F65" s="96"/>
      <c r="G65" s="47"/>
      <c r="H65" s="47"/>
      <c r="I65" s="48"/>
      <c r="J65" s="60"/>
      <c r="K65" s="60"/>
      <c r="L65" s="60"/>
      <c r="M65" s="60"/>
      <c r="N65" s="60"/>
      <c r="O65" s="60"/>
      <c r="P65" s="60"/>
      <c r="Q65" s="60"/>
      <c r="R65" s="60"/>
      <c r="S65" s="60"/>
    </row>
    <row r="66" spans="1:19" s="61" customFormat="1" ht="13.5" customHeight="1">
      <c r="A66" s="45"/>
      <c r="B66" s="51"/>
      <c r="C66" s="46"/>
      <c r="D66" s="42" t="s">
        <v>569</v>
      </c>
      <c r="E66" s="46"/>
      <c r="F66" s="52">
        <f>((9+0.35)*8)*0.1</f>
        <v>7.48</v>
      </c>
      <c r="G66" s="47"/>
      <c r="H66" s="47"/>
      <c r="I66" s="48"/>
      <c r="J66" s="60"/>
      <c r="K66" s="60"/>
      <c r="L66" s="60"/>
      <c r="M66" s="60"/>
      <c r="N66" s="60"/>
      <c r="O66" s="60"/>
      <c r="P66" s="60"/>
      <c r="Q66" s="60"/>
      <c r="R66" s="60"/>
      <c r="S66" s="60"/>
    </row>
    <row r="67" spans="1:19" s="61" customFormat="1" ht="27" customHeight="1">
      <c r="A67" s="45"/>
      <c r="B67" s="51"/>
      <c r="C67" s="46"/>
      <c r="D67" s="42" t="s">
        <v>563</v>
      </c>
      <c r="E67" s="46"/>
      <c r="F67" s="96"/>
      <c r="G67" s="47"/>
      <c r="H67" s="47"/>
      <c r="I67" s="48"/>
      <c r="J67" s="60"/>
      <c r="K67" s="87"/>
      <c r="L67" s="60"/>
      <c r="M67" s="60"/>
      <c r="N67" s="60"/>
      <c r="O67" s="60"/>
      <c r="P67" s="60"/>
      <c r="Q67" s="60"/>
      <c r="R67" s="60"/>
      <c r="S67" s="60"/>
    </row>
    <row r="68" spans="1:19" s="61" customFormat="1" ht="13.5" customHeight="1">
      <c r="A68" s="45">
        <v>22</v>
      </c>
      <c r="B68" s="51" t="s">
        <v>559</v>
      </c>
      <c r="C68" s="46">
        <v>226212413</v>
      </c>
      <c r="D68" s="46" t="s">
        <v>570</v>
      </c>
      <c r="E68" s="46" t="s">
        <v>67</v>
      </c>
      <c r="F68" s="96">
        <f>SUM(F70)</f>
        <v>10.175000000000001</v>
      </c>
      <c r="G68" s="11"/>
      <c r="H68" s="47">
        <f>F68*G68</f>
        <v>0</v>
      </c>
      <c r="I68" s="48" t="s">
        <v>183</v>
      </c>
      <c r="J68" s="60"/>
      <c r="K68" s="60"/>
      <c r="L68" s="60"/>
      <c r="M68" s="60"/>
      <c r="N68" s="60"/>
      <c r="O68" s="60"/>
      <c r="P68" s="60"/>
      <c r="Q68" s="60"/>
      <c r="R68" s="60"/>
      <c r="S68" s="60"/>
    </row>
    <row r="69" spans="1:19" s="61" customFormat="1" ht="13.5" customHeight="1">
      <c r="A69" s="45"/>
      <c r="B69" s="51"/>
      <c r="C69" s="46"/>
      <c r="D69" s="42" t="s">
        <v>561</v>
      </c>
      <c r="E69" s="46"/>
      <c r="F69" s="96"/>
      <c r="G69" s="47"/>
      <c r="H69" s="47"/>
      <c r="I69" s="48"/>
      <c r="J69" s="60"/>
      <c r="K69" s="60"/>
      <c r="L69" s="60"/>
      <c r="M69" s="60"/>
      <c r="N69" s="60"/>
      <c r="O69" s="60"/>
      <c r="P69" s="60"/>
      <c r="Q69" s="60"/>
      <c r="R69" s="60"/>
      <c r="S69" s="60"/>
    </row>
    <row r="70" spans="1:19" s="61" customFormat="1" ht="13.5" customHeight="1">
      <c r="A70" s="45"/>
      <c r="B70" s="51"/>
      <c r="C70" s="46"/>
      <c r="D70" s="42" t="s">
        <v>571</v>
      </c>
      <c r="E70" s="46"/>
      <c r="F70" s="52">
        <f>((20+0.35)*2)*0.25</f>
        <v>10.175000000000001</v>
      </c>
      <c r="G70" s="47"/>
      <c r="H70" s="47"/>
      <c r="I70" s="48"/>
      <c r="J70" s="60"/>
      <c r="K70" s="60"/>
      <c r="L70" s="60"/>
      <c r="M70" s="60"/>
      <c r="N70" s="60"/>
      <c r="O70" s="60"/>
      <c r="P70" s="60"/>
      <c r="Q70" s="60"/>
      <c r="R70" s="60"/>
      <c r="S70" s="60"/>
    </row>
    <row r="71" spans="1:19" s="61" customFormat="1" ht="27" customHeight="1">
      <c r="A71" s="45"/>
      <c r="B71" s="51"/>
      <c r="C71" s="46"/>
      <c r="D71" s="42" t="s">
        <v>563</v>
      </c>
      <c r="E71" s="46"/>
      <c r="F71" s="96"/>
      <c r="G71" s="47"/>
      <c r="H71" s="47"/>
      <c r="I71" s="48"/>
      <c r="J71" s="60"/>
      <c r="K71" s="60"/>
      <c r="L71" s="60"/>
      <c r="M71" s="60"/>
      <c r="N71" s="60"/>
      <c r="O71" s="60"/>
      <c r="P71" s="60"/>
      <c r="Q71" s="60"/>
      <c r="R71" s="60"/>
      <c r="S71" s="60"/>
    </row>
    <row r="72" spans="1:19" s="61" customFormat="1" ht="13.5" customHeight="1">
      <c r="A72" s="45">
        <v>23</v>
      </c>
      <c r="B72" s="51" t="s">
        <v>559</v>
      </c>
      <c r="C72" s="46">
        <v>226212414</v>
      </c>
      <c r="D72" s="46" t="s">
        <v>572</v>
      </c>
      <c r="E72" s="46" t="s">
        <v>67</v>
      </c>
      <c r="F72" s="96">
        <f>SUM(F74)</f>
        <v>14.244999999999999</v>
      </c>
      <c r="G72" s="11"/>
      <c r="H72" s="47">
        <f>F72*G72</f>
        <v>0</v>
      </c>
      <c r="I72" s="48" t="s">
        <v>183</v>
      </c>
      <c r="J72" s="116"/>
      <c r="K72" s="60"/>
      <c r="L72" s="60"/>
      <c r="M72" s="60"/>
      <c r="N72" s="60"/>
      <c r="O72" s="60"/>
      <c r="P72" s="60"/>
      <c r="Q72" s="60"/>
      <c r="R72" s="60"/>
      <c r="S72" s="60"/>
    </row>
    <row r="73" spans="1:19" s="61" customFormat="1" ht="13.5" customHeight="1">
      <c r="A73" s="45"/>
      <c r="B73" s="51"/>
      <c r="C73" s="46"/>
      <c r="D73" s="42" t="s">
        <v>573</v>
      </c>
      <c r="E73" s="46"/>
      <c r="F73" s="96"/>
      <c r="G73" s="47"/>
      <c r="H73" s="47"/>
      <c r="I73" s="48"/>
      <c r="J73" s="60"/>
      <c r="K73" s="60"/>
      <c r="L73" s="60"/>
      <c r="M73" s="60"/>
      <c r="N73" s="60"/>
      <c r="O73" s="60"/>
      <c r="P73" s="60"/>
      <c r="Q73" s="60"/>
      <c r="R73" s="60"/>
      <c r="S73" s="60"/>
    </row>
    <row r="74" spans="1:19" s="61" customFormat="1" ht="13.5" customHeight="1">
      <c r="A74" s="45"/>
      <c r="B74" s="51"/>
      <c r="C74" s="46"/>
      <c r="D74" s="42" t="s">
        <v>574</v>
      </c>
      <c r="E74" s="46"/>
      <c r="F74" s="52">
        <f>((20+0.35)*2)*0.35</f>
        <v>14.244999999999999</v>
      </c>
      <c r="G74" s="47"/>
      <c r="H74" s="47"/>
      <c r="I74" s="48"/>
      <c r="J74" s="60"/>
      <c r="K74" s="60"/>
      <c r="L74" s="60"/>
      <c r="M74" s="60"/>
      <c r="N74" s="60"/>
      <c r="O74" s="60"/>
      <c r="P74" s="60"/>
      <c r="Q74" s="60"/>
      <c r="R74" s="60"/>
      <c r="S74" s="60"/>
    </row>
    <row r="75" spans="1:19" s="61" customFormat="1" ht="27" customHeight="1">
      <c r="A75" s="45"/>
      <c r="B75" s="51"/>
      <c r="C75" s="46"/>
      <c r="D75" s="42" t="s">
        <v>563</v>
      </c>
      <c r="E75" s="46"/>
      <c r="F75" s="96"/>
      <c r="G75" s="47"/>
      <c r="H75" s="47"/>
      <c r="I75" s="48"/>
      <c r="J75" s="60"/>
      <c r="K75" s="60"/>
      <c r="L75" s="60"/>
      <c r="M75" s="60"/>
      <c r="N75" s="60"/>
      <c r="O75" s="60"/>
      <c r="P75" s="60"/>
      <c r="Q75" s="60"/>
      <c r="R75" s="60"/>
      <c r="S75" s="60"/>
    </row>
    <row r="76" spans="1:19" s="61" customFormat="1" ht="13.5" customHeight="1">
      <c r="A76" s="45">
        <v>24</v>
      </c>
      <c r="B76" s="51" t="s">
        <v>559</v>
      </c>
      <c r="C76" s="46">
        <v>226212415</v>
      </c>
      <c r="D76" s="46" t="s">
        <v>575</v>
      </c>
      <c r="E76" s="46" t="s">
        <v>67</v>
      </c>
      <c r="F76" s="96">
        <f>SUM(F78)</f>
        <v>16.28</v>
      </c>
      <c r="G76" s="11"/>
      <c r="H76" s="47">
        <f>F76*G76</f>
        <v>0</v>
      </c>
      <c r="I76" s="48" t="s">
        <v>183</v>
      </c>
      <c r="J76" s="60"/>
      <c r="K76" s="60"/>
      <c r="L76" s="60"/>
      <c r="M76" s="60"/>
      <c r="N76" s="60"/>
      <c r="O76" s="60"/>
      <c r="P76" s="60"/>
      <c r="Q76" s="60"/>
      <c r="R76" s="60"/>
      <c r="S76" s="60"/>
    </row>
    <row r="77" spans="1:19" s="61" customFormat="1" ht="13.5" customHeight="1">
      <c r="A77" s="45"/>
      <c r="B77" s="51"/>
      <c r="C77" s="46"/>
      <c r="D77" s="42" t="s">
        <v>576</v>
      </c>
      <c r="E77" s="46"/>
      <c r="F77" s="96"/>
      <c r="G77" s="47"/>
      <c r="H77" s="47"/>
      <c r="I77" s="48"/>
      <c r="J77" s="60"/>
      <c r="K77" s="60"/>
      <c r="L77" s="60"/>
      <c r="M77" s="60"/>
      <c r="N77" s="60"/>
      <c r="O77" s="60"/>
      <c r="P77" s="60"/>
      <c r="Q77" s="60"/>
      <c r="R77" s="60"/>
      <c r="S77" s="60"/>
    </row>
    <row r="78" spans="1:19" s="61" customFormat="1" ht="13.5" customHeight="1">
      <c r="A78" s="45"/>
      <c r="B78" s="51"/>
      <c r="C78" s="46"/>
      <c r="D78" s="42" t="s">
        <v>577</v>
      </c>
      <c r="E78" s="46"/>
      <c r="F78" s="52">
        <f>((20+0.35)*2)*0.4</f>
        <v>16.28</v>
      </c>
      <c r="G78" s="47"/>
      <c r="H78" s="47"/>
      <c r="I78" s="48"/>
      <c r="J78" s="60"/>
      <c r="K78" s="60"/>
      <c r="L78" s="60"/>
      <c r="M78" s="60"/>
      <c r="N78" s="60"/>
      <c r="O78" s="60"/>
      <c r="P78" s="60"/>
      <c r="Q78" s="60"/>
      <c r="R78" s="60"/>
      <c r="S78" s="60"/>
    </row>
    <row r="79" spans="1:19" s="61" customFormat="1" ht="27" customHeight="1">
      <c r="A79" s="45"/>
      <c r="B79" s="51"/>
      <c r="C79" s="46"/>
      <c r="D79" s="42" t="s">
        <v>563</v>
      </c>
      <c r="E79" s="46"/>
      <c r="F79" s="96"/>
      <c r="G79" s="47"/>
      <c r="H79" s="47"/>
      <c r="I79" s="48"/>
      <c r="J79" s="60"/>
      <c r="K79" s="60"/>
      <c r="L79" s="60"/>
      <c r="M79" s="60"/>
      <c r="N79" s="60"/>
      <c r="O79" s="60"/>
      <c r="P79" s="60"/>
      <c r="Q79" s="60"/>
      <c r="R79" s="60"/>
      <c r="S79" s="60"/>
    </row>
    <row r="80" spans="1:19" s="61" customFormat="1" ht="13.5" customHeight="1">
      <c r="A80" s="45">
        <v>25</v>
      </c>
      <c r="B80" s="51" t="s">
        <v>559</v>
      </c>
      <c r="C80" s="46">
        <v>226213213</v>
      </c>
      <c r="D80" s="46" t="s">
        <v>578</v>
      </c>
      <c r="E80" s="46" t="s">
        <v>67</v>
      </c>
      <c r="F80" s="96">
        <f>SUM(F82)</f>
        <v>4.6749999999999998</v>
      </c>
      <c r="G80" s="11"/>
      <c r="H80" s="47">
        <f>F80*G80</f>
        <v>0</v>
      </c>
      <c r="I80" s="48" t="s">
        <v>183</v>
      </c>
      <c r="J80" s="60"/>
      <c r="K80" s="60"/>
      <c r="L80" s="60"/>
      <c r="M80" s="60"/>
      <c r="N80" s="60"/>
      <c r="O80" s="60"/>
      <c r="P80" s="60"/>
      <c r="Q80" s="60"/>
      <c r="R80" s="60"/>
      <c r="S80" s="60"/>
    </row>
    <row r="81" spans="1:19" s="61" customFormat="1" ht="13.5" customHeight="1">
      <c r="A81" s="45"/>
      <c r="B81" s="51"/>
      <c r="C81" s="46"/>
      <c r="D81" s="42" t="s">
        <v>561</v>
      </c>
      <c r="E81" s="46"/>
      <c r="F81" s="96"/>
      <c r="G81" s="47"/>
      <c r="H81" s="47"/>
      <c r="I81" s="48"/>
      <c r="J81" s="60"/>
      <c r="K81" s="60"/>
      <c r="L81" s="60"/>
      <c r="M81" s="60"/>
      <c r="N81" s="60"/>
      <c r="O81" s="60"/>
      <c r="P81" s="60"/>
      <c r="Q81" s="60"/>
      <c r="R81" s="60"/>
      <c r="S81" s="60"/>
    </row>
    <row r="82" spans="1:19" s="61" customFormat="1" ht="13.5" customHeight="1">
      <c r="A82" s="45"/>
      <c r="B82" s="51"/>
      <c r="C82" s="46"/>
      <c r="D82" s="42" t="s">
        <v>579</v>
      </c>
      <c r="E82" s="46"/>
      <c r="F82" s="52">
        <f>((9+0.35)*2)*0.25</f>
        <v>4.6749999999999998</v>
      </c>
      <c r="G82" s="47"/>
      <c r="H82" s="47"/>
      <c r="I82" s="48"/>
      <c r="J82" s="60"/>
      <c r="K82" s="60"/>
      <c r="L82" s="60"/>
      <c r="M82" s="60"/>
      <c r="N82" s="60"/>
      <c r="O82" s="60"/>
      <c r="P82" s="60"/>
      <c r="Q82" s="60"/>
      <c r="R82" s="60"/>
      <c r="S82" s="60"/>
    </row>
    <row r="83" spans="1:19" s="61" customFormat="1" ht="27" customHeight="1">
      <c r="A83" s="45"/>
      <c r="B83" s="51"/>
      <c r="C83" s="46"/>
      <c r="D83" s="42" t="s">
        <v>563</v>
      </c>
      <c r="E83" s="46"/>
      <c r="F83" s="96"/>
      <c r="G83" s="47"/>
      <c r="H83" s="47"/>
      <c r="I83" s="48"/>
      <c r="J83" s="60"/>
      <c r="K83" s="60"/>
      <c r="L83" s="60"/>
      <c r="M83" s="60"/>
      <c r="N83" s="60"/>
      <c r="O83" s="60"/>
      <c r="P83" s="60"/>
      <c r="Q83" s="60"/>
      <c r="R83" s="60"/>
      <c r="S83" s="60"/>
    </row>
    <row r="84" spans="1:19" s="61" customFormat="1" ht="13.5" customHeight="1">
      <c r="A84" s="45">
        <v>26</v>
      </c>
      <c r="B84" s="51" t="s">
        <v>559</v>
      </c>
      <c r="C84" s="46">
        <v>226213214</v>
      </c>
      <c r="D84" s="46" t="s">
        <v>580</v>
      </c>
      <c r="E84" s="46" t="s">
        <v>67</v>
      </c>
      <c r="F84" s="96">
        <f>SUM(F86)</f>
        <v>12.154999999999999</v>
      </c>
      <c r="G84" s="11"/>
      <c r="H84" s="47">
        <f>F84*G84</f>
        <v>0</v>
      </c>
      <c r="I84" s="48" t="s">
        <v>183</v>
      </c>
      <c r="J84" s="116"/>
      <c r="K84" s="60"/>
      <c r="L84" s="60"/>
      <c r="M84" s="60"/>
      <c r="N84" s="60"/>
      <c r="O84" s="60"/>
      <c r="P84" s="60"/>
      <c r="Q84" s="60"/>
      <c r="R84" s="60"/>
      <c r="S84" s="60"/>
    </row>
    <row r="85" spans="1:19" s="61" customFormat="1" ht="13.5" customHeight="1">
      <c r="A85" s="45"/>
      <c r="B85" s="51"/>
      <c r="C85" s="46"/>
      <c r="D85" s="42" t="s">
        <v>565</v>
      </c>
      <c r="E85" s="46"/>
      <c r="F85" s="96"/>
      <c r="G85" s="47"/>
      <c r="H85" s="47"/>
      <c r="I85" s="48"/>
      <c r="J85" s="60"/>
      <c r="K85" s="60"/>
      <c r="L85" s="60"/>
      <c r="M85" s="60"/>
      <c r="N85" s="60"/>
      <c r="O85" s="60"/>
      <c r="P85" s="60"/>
      <c r="Q85" s="60"/>
      <c r="R85" s="60"/>
      <c r="S85" s="60"/>
    </row>
    <row r="86" spans="1:19" s="61" customFormat="1" ht="13.5" customHeight="1">
      <c r="A86" s="45"/>
      <c r="B86" s="51"/>
      <c r="C86" s="46"/>
      <c r="D86" s="42" t="s">
        <v>581</v>
      </c>
      <c r="E86" s="46"/>
      <c r="F86" s="52">
        <f>((9+0.35)*2)*0.65</f>
        <v>12.154999999999999</v>
      </c>
      <c r="G86" s="47"/>
      <c r="H86" s="47"/>
      <c r="I86" s="48"/>
      <c r="J86" s="60"/>
      <c r="K86" s="60"/>
      <c r="L86" s="60"/>
      <c r="M86" s="60"/>
      <c r="N86" s="60"/>
      <c r="O86" s="60"/>
      <c r="P86" s="60"/>
      <c r="Q86" s="60"/>
      <c r="R86" s="60"/>
      <c r="S86" s="60"/>
    </row>
    <row r="87" spans="1:19" s="61" customFormat="1" ht="27" customHeight="1">
      <c r="A87" s="45"/>
      <c r="B87" s="51"/>
      <c r="C87" s="46"/>
      <c r="D87" s="42" t="s">
        <v>563</v>
      </c>
      <c r="E87" s="46"/>
      <c r="F87" s="96"/>
      <c r="G87" s="47"/>
      <c r="H87" s="47"/>
      <c r="I87" s="48"/>
      <c r="J87" s="60"/>
      <c r="K87" s="60"/>
      <c r="L87" s="60"/>
      <c r="M87" s="60"/>
      <c r="N87" s="60"/>
      <c r="O87" s="60"/>
      <c r="P87" s="60"/>
      <c r="Q87" s="60"/>
      <c r="R87" s="60"/>
      <c r="S87" s="60"/>
    </row>
    <row r="88" spans="1:19" s="61" customFormat="1" ht="13.5" customHeight="1">
      <c r="A88" s="45">
        <v>27</v>
      </c>
      <c r="B88" s="51" t="s">
        <v>559</v>
      </c>
      <c r="C88" s="46">
        <v>226213215</v>
      </c>
      <c r="D88" s="46" t="s">
        <v>582</v>
      </c>
      <c r="E88" s="46" t="s">
        <v>67</v>
      </c>
      <c r="F88" s="96">
        <f>SUM(F90)</f>
        <v>1.87</v>
      </c>
      <c r="G88" s="11"/>
      <c r="H88" s="47">
        <f>F88*G88</f>
        <v>0</v>
      </c>
      <c r="I88" s="48" t="s">
        <v>183</v>
      </c>
      <c r="J88" s="60"/>
      <c r="K88" s="60"/>
      <c r="L88" s="60"/>
      <c r="M88" s="60"/>
      <c r="N88" s="60"/>
      <c r="O88" s="60"/>
      <c r="P88" s="60"/>
      <c r="Q88" s="60"/>
      <c r="R88" s="60"/>
      <c r="S88" s="60"/>
    </row>
    <row r="89" spans="1:19" s="61" customFormat="1" ht="13.5" customHeight="1">
      <c r="A89" s="45"/>
      <c r="B89" s="51"/>
      <c r="C89" s="46"/>
      <c r="D89" s="42" t="s">
        <v>568</v>
      </c>
      <c r="E89" s="46"/>
      <c r="F89" s="96"/>
      <c r="G89" s="47"/>
      <c r="H89" s="47"/>
      <c r="I89" s="48"/>
      <c r="J89" s="60"/>
      <c r="K89" s="60"/>
      <c r="L89" s="60"/>
      <c r="M89" s="60"/>
      <c r="N89" s="60"/>
      <c r="O89" s="60"/>
      <c r="P89" s="60"/>
      <c r="Q89" s="60"/>
      <c r="R89" s="60"/>
      <c r="S89" s="60"/>
    </row>
    <row r="90" spans="1:19" s="61" customFormat="1" ht="13.5" customHeight="1">
      <c r="A90" s="45"/>
      <c r="B90" s="51"/>
      <c r="C90" s="46"/>
      <c r="D90" s="42" t="s">
        <v>583</v>
      </c>
      <c r="E90" s="46"/>
      <c r="F90" s="52">
        <f>((9+0.35)*2)*0.1</f>
        <v>1.87</v>
      </c>
      <c r="G90" s="47"/>
      <c r="H90" s="47"/>
      <c r="I90" s="48"/>
      <c r="J90" s="60"/>
      <c r="K90" s="60"/>
      <c r="L90" s="60"/>
      <c r="M90" s="60"/>
      <c r="N90" s="60"/>
      <c r="O90" s="60"/>
      <c r="P90" s="60"/>
      <c r="Q90" s="60"/>
      <c r="R90" s="60"/>
      <c r="S90" s="60"/>
    </row>
    <row r="91" spans="1:19" s="61" customFormat="1" ht="27" customHeight="1">
      <c r="A91" s="45"/>
      <c r="B91" s="51"/>
      <c r="C91" s="46"/>
      <c r="D91" s="42" t="s">
        <v>563</v>
      </c>
      <c r="E91" s="46"/>
      <c r="F91" s="96"/>
      <c r="G91" s="47"/>
      <c r="H91" s="47"/>
      <c r="I91" s="48"/>
      <c r="J91" s="60"/>
      <c r="K91" s="60"/>
      <c r="L91" s="60"/>
      <c r="M91" s="60"/>
      <c r="N91" s="60"/>
      <c r="O91" s="60"/>
      <c r="P91" s="60"/>
      <c r="Q91" s="60"/>
      <c r="R91" s="60"/>
      <c r="S91" s="60"/>
    </row>
    <row r="92" spans="1:19" s="61" customFormat="1" ht="13.5" customHeight="1">
      <c r="A92" s="45">
        <v>28</v>
      </c>
      <c r="B92" s="51" t="s">
        <v>559</v>
      </c>
      <c r="C92" s="46">
        <v>226213313</v>
      </c>
      <c r="D92" s="46" t="s">
        <v>584</v>
      </c>
      <c r="E92" s="46" t="s">
        <v>67</v>
      </c>
      <c r="F92" s="96">
        <f>SUM(F94:F95)</f>
        <v>46.224999999999994</v>
      </c>
      <c r="G92" s="11"/>
      <c r="H92" s="47">
        <f>F92*G92</f>
        <v>0</v>
      </c>
      <c r="I92" s="48" t="s">
        <v>183</v>
      </c>
      <c r="J92" s="60"/>
      <c r="K92" s="60"/>
      <c r="L92" s="60"/>
      <c r="M92" s="60"/>
      <c r="N92" s="60"/>
      <c r="O92" s="60"/>
      <c r="P92" s="60"/>
      <c r="Q92" s="60"/>
      <c r="R92" s="60"/>
      <c r="S92" s="60"/>
    </row>
    <row r="93" spans="1:19" s="61" customFormat="1" ht="13.5" customHeight="1">
      <c r="A93" s="45"/>
      <c r="B93" s="51"/>
      <c r="C93" s="46"/>
      <c r="D93" s="42" t="s">
        <v>561</v>
      </c>
      <c r="E93" s="46"/>
      <c r="F93" s="96"/>
      <c r="G93" s="47"/>
      <c r="H93" s="47"/>
      <c r="I93" s="48"/>
      <c r="J93" s="60"/>
      <c r="K93" s="60"/>
      <c r="L93" s="60"/>
      <c r="M93" s="60"/>
      <c r="N93" s="60"/>
      <c r="O93" s="60"/>
      <c r="P93" s="60"/>
      <c r="Q93" s="60"/>
      <c r="R93" s="60"/>
      <c r="S93" s="60"/>
    </row>
    <row r="94" spans="1:19" s="61" customFormat="1" ht="13.5" customHeight="1">
      <c r="A94" s="45"/>
      <c r="B94" s="51"/>
      <c r="C94" s="88"/>
      <c r="D94" s="42" t="s">
        <v>585</v>
      </c>
      <c r="E94" s="46"/>
      <c r="F94" s="52">
        <f>((12+0.35)*8)*0.25</f>
        <v>24.7</v>
      </c>
      <c r="G94" s="47"/>
      <c r="H94" s="47"/>
      <c r="I94" s="48"/>
      <c r="J94" s="60"/>
      <c r="K94" s="60"/>
      <c r="L94" s="60"/>
      <c r="M94" s="60"/>
      <c r="N94" s="60"/>
      <c r="O94" s="60"/>
      <c r="P94" s="60"/>
      <c r="Q94" s="60"/>
      <c r="R94" s="60"/>
      <c r="S94" s="60"/>
    </row>
    <row r="95" spans="1:19" s="61" customFormat="1" ht="13.5" customHeight="1">
      <c r="A95" s="45"/>
      <c r="B95" s="46"/>
      <c r="C95" s="46"/>
      <c r="D95" s="42" t="s">
        <v>586</v>
      </c>
      <c r="E95" s="46"/>
      <c r="F95" s="52">
        <f>((14+0.35)*6)*0.25</f>
        <v>21.524999999999999</v>
      </c>
      <c r="G95" s="47"/>
      <c r="H95" s="47"/>
      <c r="I95" s="48"/>
      <c r="J95" s="60"/>
      <c r="K95" s="60"/>
      <c r="L95" s="60"/>
      <c r="M95" s="60"/>
      <c r="N95" s="60"/>
      <c r="O95" s="60"/>
      <c r="P95" s="60"/>
      <c r="Q95" s="60"/>
      <c r="R95" s="60"/>
      <c r="S95" s="60"/>
    </row>
    <row r="96" spans="1:19" s="61" customFormat="1" ht="27" customHeight="1">
      <c r="A96" s="117"/>
      <c r="B96" s="118"/>
      <c r="C96" s="118"/>
      <c r="D96" s="42" t="s">
        <v>563</v>
      </c>
      <c r="E96" s="118"/>
      <c r="F96" s="119"/>
      <c r="G96" s="120"/>
      <c r="H96" s="120"/>
      <c r="I96" s="121"/>
      <c r="J96" s="60"/>
      <c r="K96" s="60"/>
      <c r="L96" s="60"/>
      <c r="M96" s="60"/>
      <c r="N96" s="60"/>
      <c r="O96" s="60"/>
      <c r="P96" s="60"/>
      <c r="Q96" s="60"/>
      <c r="R96" s="60"/>
      <c r="S96" s="60"/>
    </row>
    <row r="97" spans="1:19" s="61" customFormat="1" ht="13.5" customHeight="1">
      <c r="A97" s="45">
        <v>29</v>
      </c>
      <c r="B97" s="51" t="s">
        <v>559</v>
      </c>
      <c r="C97" s="46">
        <v>226213314</v>
      </c>
      <c r="D97" s="46" t="s">
        <v>587</v>
      </c>
      <c r="E97" s="46" t="s">
        <v>67</v>
      </c>
      <c r="F97" s="96">
        <f>SUM(F99:F100)</f>
        <v>83.204999999999998</v>
      </c>
      <c r="G97" s="11"/>
      <c r="H97" s="47">
        <f>F97*G97</f>
        <v>0</v>
      </c>
      <c r="I97" s="48" t="s">
        <v>183</v>
      </c>
      <c r="J97" s="116"/>
      <c r="K97" s="60"/>
      <c r="L97" s="60"/>
      <c r="M97" s="60"/>
      <c r="N97" s="60"/>
      <c r="O97" s="60"/>
      <c r="P97" s="60"/>
      <c r="Q97" s="60"/>
      <c r="R97" s="60"/>
      <c r="S97" s="60"/>
    </row>
    <row r="98" spans="1:19" s="61" customFormat="1" ht="13.5" customHeight="1">
      <c r="A98" s="45"/>
      <c r="B98" s="51"/>
      <c r="C98" s="46"/>
      <c r="D98" s="42" t="s">
        <v>588</v>
      </c>
      <c r="E98" s="46"/>
      <c r="F98" s="96"/>
      <c r="G98" s="47"/>
      <c r="H98" s="47"/>
      <c r="I98" s="48"/>
      <c r="J98" s="60"/>
      <c r="K98" s="60"/>
      <c r="L98" s="60"/>
      <c r="M98" s="60"/>
      <c r="N98" s="60"/>
      <c r="O98" s="60"/>
      <c r="P98" s="60"/>
      <c r="Q98" s="60"/>
      <c r="R98" s="60"/>
      <c r="S98" s="60"/>
    </row>
    <row r="99" spans="1:19" s="61" customFormat="1" ht="13.5" customHeight="1">
      <c r="A99" s="45"/>
      <c r="B99" s="51"/>
      <c r="C99" s="88"/>
      <c r="D99" s="42" t="s">
        <v>589</v>
      </c>
      <c r="E99" s="46"/>
      <c r="F99" s="52">
        <f>((12+0.35)*8)*0.45</f>
        <v>44.46</v>
      </c>
      <c r="G99" s="47"/>
      <c r="H99" s="47"/>
      <c r="I99" s="48"/>
      <c r="J99" s="60"/>
      <c r="K99" s="60"/>
      <c r="L99" s="60"/>
      <c r="M99" s="60"/>
      <c r="N99" s="60"/>
      <c r="O99" s="60"/>
      <c r="P99" s="60"/>
      <c r="Q99" s="60"/>
      <c r="R99" s="60"/>
      <c r="S99" s="60"/>
    </row>
    <row r="100" spans="1:19" s="61" customFormat="1" ht="13.5" customHeight="1">
      <c r="A100" s="45"/>
      <c r="B100" s="46"/>
      <c r="C100" s="46"/>
      <c r="D100" s="42" t="s">
        <v>590</v>
      </c>
      <c r="E100" s="46"/>
      <c r="F100" s="52">
        <f>((14+0.35)*6)*0.45</f>
        <v>38.744999999999997</v>
      </c>
      <c r="G100" s="47"/>
      <c r="H100" s="47"/>
      <c r="I100" s="48"/>
      <c r="J100" s="60"/>
      <c r="K100" s="60"/>
      <c r="L100" s="60"/>
      <c r="M100" s="60"/>
      <c r="N100" s="60"/>
      <c r="O100" s="60"/>
      <c r="P100" s="60"/>
      <c r="Q100" s="60"/>
      <c r="R100" s="60"/>
      <c r="S100" s="60"/>
    </row>
    <row r="101" spans="1:19" s="61" customFormat="1" ht="27" customHeight="1">
      <c r="A101" s="117"/>
      <c r="B101" s="118"/>
      <c r="C101" s="118"/>
      <c r="D101" s="42" t="s">
        <v>563</v>
      </c>
      <c r="E101" s="118"/>
      <c r="F101" s="119"/>
      <c r="G101" s="120"/>
      <c r="H101" s="120"/>
      <c r="I101" s="121"/>
      <c r="J101" s="60"/>
      <c r="K101" s="60"/>
      <c r="L101" s="60"/>
      <c r="M101" s="60"/>
      <c r="N101" s="60"/>
      <c r="O101" s="60"/>
      <c r="P101" s="60"/>
      <c r="Q101" s="60"/>
      <c r="R101" s="60"/>
      <c r="S101" s="60"/>
    </row>
    <row r="102" spans="1:19" s="61" customFormat="1" ht="13.5" customHeight="1">
      <c r="A102" s="45">
        <v>30</v>
      </c>
      <c r="B102" s="51" t="s">
        <v>559</v>
      </c>
      <c r="C102" s="46">
        <v>226213315</v>
      </c>
      <c r="D102" s="46" t="s">
        <v>591</v>
      </c>
      <c r="E102" s="46" t="s">
        <v>67</v>
      </c>
      <c r="F102" s="96">
        <f>SUM(F104:F105)</f>
        <v>55.47</v>
      </c>
      <c r="G102" s="11"/>
      <c r="H102" s="47">
        <f>F102*G102</f>
        <v>0</v>
      </c>
      <c r="I102" s="48" t="s">
        <v>183</v>
      </c>
      <c r="J102" s="60"/>
      <c r="K102" s="60"/>
      <c r="L102" s="60"/>
      <c r="M102" s="60"/>
      <c r="N102" s="60"/>
      <c r="O102" s="60"/>
      <c r="P102" s="60"/>
      <c r="Q102" s="60"/>
      <c r="R102" s="60"/>
      <c r="S102" s="60"/>
    </row>
    <row r="103" spans="1:19" s="61" customFormat="1" ht="13.5" customHeight="1">
      <c r="A103" s="45"/>
      <c r="B103" s="51"/>
      <c r="C103" s="46"/>
      <c r="D103" s="42" t="s">
        <v>592</v>
      </c>
      <c r="E103" s="46"/>
      <c r="F103" s="96"/>
      <c r="G103" s="47"/>
      <c r="H103" s="47"/>
      <c r="I103" s="48"/>
      <c r="J103" s="60"/>
      <c r="K103" s="60"/>
      <c r="L103" s="60"/>
      <c r="M103" s="60"/>
      <c r="N103" s="60"/>
      <c r="O103" s="60"/>
      <c r="P103" s="60"/>
      <c r="Q103" s="60"/>
      <c r="R103" s="60"/>
      <c r="S103" s="60"/>
    </row>
    <row r="104" spans="1:19" s="61" customFormat="1" ht="13.5" customHeight="1">
      <c r="A104" s="45"/>
      <c r="B104" s="51"/>
      <c r="C104" s="88"/>
      <c r="D104" s="42" t="s">
        <v>593</v>
      </c>
      <c r="E104" s="46"/>
      <c r="F104" s="52">
        <f>((12+0.35)*8)*0.3</f>
        <v>29.639999999999997</v>
      </c>
      <c r="G104" s="47"/>
      <c r="H104" s="47"/>
      <c r="I104" s="48"/>
      <c r="J104" s="60"/>
      <c r="K104" s="60"/>
      <c r="L104" s="60"/>
      <c r="M104" s="60"/>
      <c r="N104" s="60"/>
      <c r="O104" s="60"/>
      <c r="P104" s="60"/>
      <c r="Q104" s="60"/>
      <c r="R104" s="60"/>
      <c r="S104" s="60"/>
    </row>
    <row r="105" spans="1:19" s="61" customFormat="1" ht="13.5" customHeight="1">
      <c r="A105" s="45"/>
      <c r="B105" s="46"/>
      <c r="C105" s="46"/>
      <c r="D105" s="42" t="s">
        <v>594</v>
      </c>
      <c r="E105" s="46"/>
      <c r="F105" s="52">
        <f>((14+0.35)*6)*0.3</f>
        <v>25.83</v>
      </c>
      <c r="G105" s="47"/>
      <c r="H105" s="47"/>
      <c r="I105" s="48"/>
      <c r="J105" s="60"/>
      <c r="K105" s="60"/>
      <c r="L105" s="60"/>
      <c r="M105" s="60"/>
      <c r="N105" s="60"/>
      <c r="O105" s="60"/>
      <c r="P105" s="60"/>
      <c r="Q105" s="60"/>
      <c r="R105" s="60"/>
      <c r="S105" s="60"/>
    </row>
    <row r="106" spans="1:19" s="61" customFormat="1" ht="27" customHeight="1">
      <c r="A106" s="117"/>
      <c r="B106" s="118"/>
      <c r="C106" s="118"/>
      <c r="D106" s="42" t="s">
        <v>563</v>
      </c>
      <c r="E106" s="118"/>
      <c r="F106" s="119"/>
      <c r="G106" s="120"/>
      <c r="H106" s="120"/>
      <c r="I106" s="121"/>
      <c r="J106" s="60"/>
      <c r="K106" s="60"/>
      <c r="L106" s="60"/>
      <c r="M106" s="60"/>
      <c r="N106" s="60"/>
      <c r="O106" s="60"/>
      <c r="P106" s="60"/>
      <c r="Q106" s="60"/>
      <c r="R106" s="60"/>
      <c r="S106" s="60"/>
    </row>
    <row r="107" spans="1:19" s="61" customFormat="1" ht="13.5" customHeight="1">
      <c r="A107" s="45">
        <v>31</v>
      </c>
      <c r="B107" s="51" t="s">
        <v>559</v>
      </c>
      <c r="C107" s="46">
        <v>226213413</v>
      </c>
      <c r="D107" s="46" t="s">
        <v>595</v>
      </c>
      <c r="E107" s="46" t="s">
        <v>67</v>
      </c>
      <c r="F107" s="96">
        <f>SUM(F109)</f>
        <v>20.350000000000001</v>
      </c>
      <c r="G107" s="11"/>
      <c r="H107" s="47">
        <f>F107*G107</f>
        <v>0</v>
      </c>
      <c r="I107" s="48" t="s">
        <v>183</v>
      </c>
      <c r="J107" s="60"/>
      <c r="K107" s="60"/>
      <c r="L107" s="60"/>
      <c r="M107" s="60"/>
      <c r="N107" s="60"/>
      <c r="O107" s="60"/>
      <c r="P107" s="60"/>
      <c r="Q107" s="60"/>
      <c r="R107" s="60"/>
      <c r="S107" s="60"/>
    </row>
    <row r="108" spans="1:19" s="61" customFormat="1" ht="13.5" customHeight="1">
      <c r="A108" s="45"/>
      <c r="B108" s="51"/>
      <c r="C108" s="46"/>
      <c r="D108" s="42" t="s">
        <v>561</v>
      </c>
      <c r="E108" s="46"/>
      <c r="F108" s="96"/>
      <c r="G108" s="47"/>
      <c r="H108" s="47"/>
      <c r="I108" s="48"/>
      <c r="J108" s="60"/>
      <c r="K108" s="60"/>
      <c r="L108" s="60"/>
      <c r="M108" s="60"/>
      <c r="N108" s="60"/>
      <c r="O108" s="60"/>
      <c r="P108" s="60"/>
      <c r="Q108" s="60"/>
      <c r="R108" s="60"/>
      <c r="S108" s="60"/>
    </row>
    <row r="109" spans="1:19" s="61" customFormat="1" ht="13.5" customHeight="1">
      <c r="A109" s="45"/>
      <c r="B109" s="51"/>
      <c r="C109" s="46"/>
      <c r="D109" s="42" t="s">
        <v>596</v>
      </c>
      <c r="E109" s="46"/>
      <c r="F109" s="52">
        <f>((20+0.35)*4)*0.25</f>
        <v>20.350000000000001</v>
      </c>
      <c r="G109" s="47"/>
      <c r="H109" s="47"/>
      <c r="I109" s="48"/>
      <c r="J109" s="60"/>
      <c r="K109" s="60"/>
      <c r="L109" s="60"/>
      <c r="M109" s="60"/>
      <c r="N109" s="60"/>
      <c r="O109" s="60"/>
      <c r="P109" s="60"/>
      <c r="Q109" s="60"/>
      <c r="R109" s="60"/>
      <c r="S109" s="60"/>
    </row>
    <row r="110" spans="1:19" s="61" customFormat="1" ht="27" customHeight="1">
      <c r="A110" s="45"/>
      <c r="B110" s="51"/>
      <c r="C110" s="46"/>
      <c r="D110" s="42" t="s">
        <v>563</v>
      </c>
      <c r="E110" s="46"/>
      <c r="F110" s="96"/>
      <c r="G110" s="47"/>
      <c r="H110" s="47"/>
      <c r="I110" s="48"/>
      <c r="J110" s="60"/>
      <c r="K110" s="60"/>
      <c r="L110" s="60"/>
      <c r="M110" s="60"/>
      <c r="N110" s="60"/>
      <c r="O110" s="60"/>
      <c r="P110" s="60"/>
      <c r="Q110" s="60"/>
      <c r="R110" s="60"/>
      <c r="S110" s="60"/>
    </row>
    <row r="111" spans="1:19" s="61" customFormat="1" ht="13.5" customHeight="1">
      <c r="A111" s="45">
        <v>32</v>
      </c>
      <c r="B111" s="51" t="s">
        <v>559</v>
      </c>
      <c r="C111" s="46">
        <v>226213414</v>
      </c>
      <c r="D111" s="46" t="s">
        <v>597</v>
      </c>
      <c r="E111" s="46" t="s">
        <v>67</v>
      </c>
      <c r="F111" s="96">
        <f>SUM(F113)</f>
        <v>28.49</v>
      </c>
      <c r="G111" s="11"/>
      <c r="H111" s="47">
        <f>F111*G111</f>
        <v>0</v>
      </c>
      <c r="I111" s="48" t="s">
        <v>183</v>
      </c>
      <c r="J111" s="116"/>
      <c r="K111" s="60"/>
      <c r="L111" s="60"/>
      <c r="M111" s="60"/>
      <c r="N111" s="60"/>
      <c r="O111" s="60"/>
      <c r="P111" s="60"/>
      <c r="Q111" s="60"/>
      <c r="R111" s="60"/>
      <c r="S111" s="60"/>
    </row>
    <row r="112" spans="1:19" s="61" customFormat="1" ht="13.5" customHeight="1">
      <c r="A112" s="45"/>
      <c r="B112" s="51"/>
      <c r="C112" s="46"/>
      <c r="D112" s="42" t="s">
        <v>573</v>
      </c>
      <c r="E112" s="46"/>
      <c r="F112" s="96"/>
      <c r="G112" s="47"/>
      <c r="H112" s="47"/>
      <c r="I112" s="48"/>
      <c r="J112" s="60"/>
      <c r="K112" s="60"/>
      <c r="L112" s="60"/>
      <c r="M112" s="60"/>
      <c r="N112" s="60"/>
      <c r="O112" s="60"/>
      <c r="P112" s="60"/>
      <c r="Q112" s="60"/>
      <c r="R112" s="60"/>
      <c r="S112" s="60"/>
    </row>
    <row r="113" spans="1:19" s="61" customFormat="1" ht="13.5" customHeight="1">
      <c r="A113" s="45"/>
      <c r="B113" s="51"/>
      <c r="C113" s="46"/>
      <c r="D113" s="42" t="s">
        <v>598</v>
      </c>
      <c r="E113" s="46"/>
      <c r="F113" s="52">
        <f>((20+0.35)*4)*0.35</f>
        <v>28.49</v>
      </c>
      <c r="G113" s="47"/>
      <c r="H113" s="47"/>
      <c r="I113" s="48"/>
      <c r="J113" s="60"/>
      <c r="K113" s="60"/>
      <c r="L113" s="60"/>
      <c r="M113" s="60"/>
      <c r="N113" s="60"/>
      <c r="O113" s="60"/>
      <c r="P113" s="60"/>
      <c r="Q113" s="60"/>
      <c r="R113" s="60"/>
      <c r="S113" s="60"/>
    </row>
    <row r="114" spans="1:19" s="61" customFormat="1" ht="27" customHeight="1">
      <c r="A114" s="45"/>
      <c r="B114" s="51"/>
      <c r="C114" s="46"/>
      <c r="D114" s="42" t="s">
        <v>563</v>
      </c>
      <c r="E114" s="46"/>
      <c r="F114" s="96"/>
      <c r="G114" s="47"/>
      <c r="H114" s="47"/>
      <c r="I114" s="48"/>
      <c r="J114" s="60"/>
      <c r="K114" s="60"/>
      <c r="L114" s="60"/>
      <c r="M114" s="60"/>
      <c r="N114" s="60"/>
      <c r="O114" s="60"/>
      <c r="P114" s="60"/>
      <c r="Q114" s="60"/>
      <c r="R114" s="60"/>
      <c r="S114" s="60"/>
    </row>
    <row r="115" spans="1:19" s="61" customFormat="1" ht="13.5" customHeight="1">
      <c r="A115" s="45">
        <v>33</v>
      </c>
      <c r="B115" s="51" t="s">
        <v>559</v>
      </c>
      <c r="C115" s="46">
        <v>226213415</v>
      </c>
      <c r="D115" s="46" t="s">
        <v>599</v>
      </c>
      <c r="E115" s="46" t="s">
        <v>67</v>
      </c>
      <c r="F115" s="96">
        <f>SUM(F117)</f>
        <v>32.56</v>
      </c>
      <c r="G115" s="11"/>
      <c r="H115" s="47">
        <f>F115*G115</f>
        <v>0</v>
      </c>
      <c r="I115" s="48" t="s">
        <v>183</v>
      </c>
      <c r="J115" s="60"/>
      <c r="K115" s="60"/>
      <c r="L115" s="60"/>
      <c r="M115" s="60"/>
      <c r="N115" s="60"/>
      <c r="O115" s="60"/>
      <c r="P115" s="60"/>
      <c r="Q115" s="60"/>
      <c r="R115" s="60"/>
      <c r="S115" s="60"/>
    </row>
    <row r="116" spans="1:19" s="61" customFormat="1" ht="13.5" customHeight="1">
      <c r="A116" s="45"/>
      <c r="B116" s="51"/>
      <c r="C116" s="46"/>
      <c r="D116" s="42" t="s">
        <v>576</v>
      </c>
      <c r="E116" s="46"/>
      <c r="F116" s="96"/>
      <c r="G116" s="47"/>
      <c r="H116" s="47"/>
      <c r="I116" s="48"/>
      <c r="J116" s="60"/>
      <c r="K116" s="60"/>
      <c r="L116" s="60"/>
      <c r="M116" s="60"/>
      <c r="N116" s="60"/>
      <c r="O116" s="60"/>
      <c r="P116" s="60"/>
      <c r="Q116" s="60"/>
      <c r="R116" s="60"/>
      <c r="S116" s="60"/>
    </row>
    <row r="117" spans="1:19" s="61" customFormat="1" ht="13.5" customHeight="1">
      <c r="A117" s="45"/>
      <c r="B117" s="51"/>
      <c r="C117" s="46"/>
      <c r="D117" s="42" t="s">
        <v>600</v>
      </c>
      <c r="E117" s="46"/>
      <c r="F117" s="52">
        <f>((20+0.35)*4)*0.4</f>
        <v>32.56</v>
      </c>
      <c r="G117" s="47"/>
      <c r="H117" s="47"/>
      <c r="I117" s="48"/>
      <c r="J117" s="60"/>
      <c r="K117" s="60"/>
      <c r="L117" s="60"/>
      <c r="M117" s="60"/>
      <c r="N117" s="60"/>
      <c r="O117" s="60"/>
      <c r="P117" s="60"/>
      <c r="Q117" s="60"/>
      <c r="R117" s="60"/>
      <c r="S117" s="60"/>
    </row>
    <row r="118" spans="1:19" s="61" customFormat="1" ht="27" customHeight="1">
      <c r="A118" s="45"/>
      <c r="B118" s="51"/>
      <c r="C118" s="46"/>
      <c r="D118" s="42" t="s">
        <v>563</v>
      </c>
      <c r="E118" s="46"/>
      <c r="F118" s="96"/>
      <c r="G118" s="47"/>
      <c r="H118" s="47"/>
      <c r="I118" s="48"/>
      <c r="J118" s="60"/>
      <c r="K118" s="60"/>
      <c r="L118" s="60"/>
      <c r="M118" s="60"/>
      <c r="N118" s="60"/>
      <c r="O118" s="60"/>
      <c r="P118" s="60"/>
      <c r="Q118" s="60"/>
      <c r="R118" s="60"/>
      <c r="S118" s="60"/>
    </row>
    <row r="119" spans="1:19" s="60" customFormat="1" ht="27" customHeight="1">
      <c r="A119" s="45">
        <v>34</v>
      </c>
      <c r="B119" s="51" t="s">
        <v>559</v>
      </c>
      <c r="C119" s="46">
        <v>231212112</v>
      </c>
      <c r="D119" s="46" t="s">
        <v>601</v>
      </c>
      <c r="E119" s="46" t="s">
        <v>67</v>
      </c>
      <c r="F119" s="96">
        <f>SUM(F120)</f>
        <v>74.8</v>
      </c>
      <c r="G119" s="11"/>
      <c r="H119" s="47">
        <f>F119*G119</f>
        <v>0</v>
      </c>
      <c r="I119" s="48" t="s">
        <v>183</v>
      </c>
      <c r="J119" s="116"/>
    </row>
    <row r="120" spans="1:19" s="61" customFormat="1" ht="13.5" customHeight="1">
      <c r="A120" s="45"/>
      <c r="B120" s="51"/>
      <c r="C120" s="88"/>
      <c r="D120" s="42" t="s">
        <v>602</v>
      </c>
      <c r="E120" s="46"/>
      <c r="F120" s="52">
        <f>(9+0.35)*8</f>
        <v>74.8</v>
      </c>
      <c r="G120" s="47"/>
      <c r="H120" s="47"/>
      <c r="I120" s="48"/>
      <c r="J120" s="60"/>
      <c r="K120" s="60"/>
      <c r="L120" s="60"/>
      <c r="M120" s="60"/>
      <c r="N120" s="60"/>
      <c r="O120" s="60"/>
      <c r="P120" s="60"/>
      <c r="Q120" s="60"/>
      <c r="R120" s="60"/>
      <c r="S120" s="60"/>
    </row>
    <row r="121" spans="1:19" s="60" customFormat="1" ht="27" customHeight="1">
      <c r="A121" s="45">
        <v>35</v>
      </c>
      <c r="B121" s="51" t="s">
        <v>559</v>
      </c>
      <c r="C121" s="46">
        <v>231212312</v>
      </c>
      <c r="D121" s="46" t="s">
        <v>603</v>
      </c>
      <c r="E121" s="46" t="s">
        <v>67</v>
      </c>
      <c r="F121" s="96">
        <f>SUM(F122)</f>
        <v>40.700000000000003</v>
      </c>
      <c r="G121" s="11"/>
      <c r="H121" s="47">
        <f>F121*G121</f>
        <v>0</v>
      </c>
      <c r="I121" s="48" t="s">
        <v>183</v>
      </c>
      <c r="J121" s="116"/>
    </row>
    <row r="122" spans="1:19" s="61" customFormat="1" ht="13.5" customHeight="1">
      <c r="A122" s="45"/>
      <c r="B122" s="46"/>
      <c r="C122" s="46"/>
      <c r="D122" s="42" t="s">
        <v>604</v>
      </c>
      <c r="E122" s="46"/>
      <c r="F122" s="52">
        <f>(20+0.35)*2</f>
        <v>40.700000000000003</v>
      </c>
      <c r="G122" s="47"/>
      <c r="H122" s="47"/>
      <c r="I122" s="48"/>
      <c r="J122" s="60"/>
      <c r="K122" s="60"/>
      <c r="L122" s="60"/>
      <c r="M122" s="60"/>
      <c r="N122" s="60"/>
      <c r="O122" s="60"/>
      <c r="P122" s="60"/>
      <c r="Q122" s="60"/>
      <c r="R122" s="60"/>
      <c r="S122" s="60"/>
    </row>
    <row r="123" spans="1:19" s="60" customFormat="1" ht="27" customHeight="1">
      <c r="A123" s="45">
        <v>36</v>
      </c>
      <c r="B123" s="51" t="s">
        <v>559</v>
      </c>
      <c r="C123" s="46">
        <v>231212113</v>
      </c>
      <c r="D123" s="46" t="s">
        <v>605</v>
      </c>
      <c r="E123" s="46" t="s">
        <v>67</v>
      </c>
      <c r="F123" s="96">
        <f>SUM(F124)</f>
        <v>18.7</v>
      </c>
      <c r="G123" s="11"/>
      <c r="H123" s="47">
        <f>F123*G123</f>
        <v>0</v>
      </c>
      <c r="I123" s="48" t="s">
        <v>183</v>
      </c>
      <c r="J123" s="116"/>
    </row>
    <row r="124" spans="1:19" s="61" customFormat="1" ht="13.5" customHeight="1">
      <c r="A124" s="45"/>
      <c r="B124" s="46"/>
      <c r="C124" s="46"/>
      <c r="D124" s="42" t="s">
        <v>606</v>
      </c>
      <c r="E124" s="46"/>
      <c r="F124" s="52">
        <f>(9+0.35)*2</f>
        <v>18.7</v>
      </c>
      <c r="G124" s="47"/>
      <c r="H124" s="47"/>
      <c r="I124" s="48"/>
      <c r="J124" s="87"/>
      <c r="K124" s="122"/>
      <c r="L124" s="60"/>
      <c r="M124" s="60"/>
      <c r="N124" s="60"/>
      <c r="O124" s="60"/>
      <c r="P124" s="60"/>
      <c r="Q124" s="60"/>
      <c r="R124" s="60"/>
      <c r="S124" s="60"/>
    </row>
    <row r="125" spans="1:19" s="60" customFormat="1" ht="27" customHeight="1">
      <c r="A125" s="45">
        <v>37</v>
      </c>
      <c r="B125" s="51" t="s">
        <v>559</v>
      </c>
      <c r="C125" s="46">
        <v>231212213</v>
      </c>
      <c r="D125" s="46" t="s">
        <v>607</v>
      </c>
      <c r="E125" s="46" t="s">
        <v>67</v>
      </c>
      <c r="F125" s="96">
        <f>SUM(F126:F127)</f>
        <v>184.89999999999998</v>
      </c>
      <c r="G125" s="11"/>
      <c r="H125" s="47">
        <f>F125*G125</f>
        <v>0</v>
      </c>
      <c r="I125" s="48" t="s">
        <v>183</v>
      </c>
      <c r="J125" s="116"/>
    </row>
    <row r="126" spans="1:19" s="61" customFormat="1" ht="13.5" customHeight="1">
      <c r="A126" s="45"/>
      <c r="B126" s="46"/>
      <c r="C126" s="46"/>
      <c r="D126" s="42" t="s">
        <v>608</v>
      </c>
      <c r="E126" s="46"/>
      <c r="F126" s="52">
        <f>(12+0.35)*8</f>
        <v>98.8</v>
      </c>
      <c r="G126" s="47"/>
      <c r="H126" s="47"/>
      <c r="I126" s="48"/>
      <c r="J126" s="87"/>
      <c r="K126" s="60"/>
      <c r="L126" s="60"/>
      <c r="M126" s="60"/>
      <c r="N126" s="60"/>
      <c r="O126" s="60"/>
      <c r="P126" s="60"/>
      <c r="Q126" s="60"/>
      <c r="R126" s="60"/>
      <c r="S126" s="60"/>
    </row>
    <row r="127" spans="1:19" s="61" customFormat="1" ht="13.5" customHeight="1">
      <c r="A127" s="45"/>
      <c r="B127" s="51"/>
      <c r="C127" s="88"/>
      <c r="D127" s="42" t="s">
        <v>609</v>
      </c>
      <c r="E127" s="46"/>
      <c r="F127" s="52">
        <f>(14+0.35)*6</f>
        <v>86.1</v>
      </c>
      <c r="G127" s="47"/>
      <c r="H127" s="47"/>
      <c r="I127" s="48"/>
      <c r="J127" s="60"/>
      <c r="K127" s="60"/>
      <c r="L127" s="60"/>
      <c r="M127" s="60"/>
      <c r="N127" s="60"/>
      <c r="O127" s="60"/>
      <c r="P127" s="60"/>
      <c r="Q127" s="60"/>
      <c r="R127" s="60"/>
      <c r="S127" s="60"/>
    </row>
    <row r="128" spans="1:19" s="60" customFormat="1" ht="27" customHeight="1">
      <c r="A128" s="45">
        <v>38</v>
      </c>
      <c r="B128" s="51" t="s">
        <v>559</v>
      </c>
      <c r="C128" s="46">
        <v>231212313</v>
      </c>
      <c r="D128" s="46" t="s">
        <v>610</v>
      </c>
      <c r="E128" s="46" t="s">
        <v>67</v>
      </c>
      <c r="F128" s="96">
        <f>SUM(F129)</f>
        <v>81.400000000000006</v>
      </c>
      <c r="G128" s="11"/>
      <c r="H128" s="47">
        <f>F128*G128</f>
        <v>0</v>
      </c>
      <c r="I128" s="48" t="s">
        <v>183</v>
      </c>
      <c r="J128" s="116"/>
    </row>
    <row r="129" spans="1:19" s="61" customFormat="1" ht="13.5" customHeight="1">
      <c r="A129" s="45"/>
      <c r="B129" s="46"/>
      <c r="C129" s="46"/>
      <c r="D129" s="42" t="s">
        <v>611</v>
      </c>
      <c r="E129" s="46"/>
      <c r="F129" s="52">
        <f>(20+0.35)*4</f>
        <v>81.400000000000006</v>
      </c>
      <c r="G129" s="47"/>
      <c r="H129" s="47"/>
      <c r="I129" s="48"/>
      <c r="J129" s="60"/>
      <c r="K129" s="60"/>
      <c r="L129" s="60"/>
      <c r="M129" s="60"/>
      <c r="N129" s="60"/>
      <c r="O129" s="60"/>
      <c r="P129" s="60"/>
      <c r="Q129" s="60"/>
      <c r="R129" s="60"/>
      <c r="S129" s="60"/>
    </row>
    <row r="130" spans="1:19" s="61" customFormat="1" ht="13.5" customHeight="1">
      <c r="A130" s="99">
        <v>39</v>
      </c>
      <c r="B130" s="100">
        <v>589</v>
      </c>
      <c r="C130" s="100" t="s">
        <v>612</v>
      </c>
      <c r="D130" s="100" t="s">
        <v>613</v>
      </c>
      <c r="E130" s="100" t="s">
        <v>27</v>
      </c>
      <c r="F130" s="123">
        <f>SUM(F131:F142)</f>
        <v>227.34738033761488</v>
      </c>
      <c r="G130" s="41"/>
      <c r="H130" s="124">
        <f>F130*G130</f>
        <v>0</v>
      </c>
      <c r="I130" s="103" t="s">
        <v>192</v>
      </c>
      <c r="J130" s="125"/>
      <c r="K130" s="60"/>
      <c r="L130" s="60"/>
      <c r="M130" s="60"/>
      <c r="N130" s="60"/>
      <c r="O130" s="60"/>
      <c r="P130" s="60"/>
      <c r="Q130" s="60"/>
      <c r="R130" s="60"/>
      <c r="S130" s="60"/>
    </row>
    <row r="131" spans="1:19" s="61" customFormat="1" ht="13.5" customHeight="1">
      <c r="A131" s="126"/>
      <c r="B131" s="127"/>
      <c r="C131" s="127"/>
      <c r="D131" s="106" t="s">
        <v>614</v>
      </c>
      <c r="E131" s="128"/>
      <c r="F131" s="129">
        <f>(((0.63/2)*(0.63/2)*3.141592654*9)*8)*1.05</f>
        <v>23.566374550642141</v>
      </c>
      <c r="G131" s="102"/>
      <c r="H131" s="124"/>
      <c r="I131" s="130"/>
      <c r="J131" s="131"/>
      <c r="K131" s="60"/>
      <c r="L131" s="60"/>
      <c r="M131" s="60"/>
      <c r="N131" s="60"/>
      <c r="O131" s="60"/>
      <c r="P131" s="60"/>
      <c r="Q131" s="60"/>
      <c r="R131" s="60"/>
      <c r="S131" s="60"/>
    </row>
    <row r="132" spans="1:19" s="61" customFormat="1" ht="13.5" customHeight="1">
      <c r="A132" s="126"/>
      <c r="B132" s="127"/>
      <c r="C132" s="127"/>
      <c r="D132" s="106" t="s">
        <v>615</v>
      </c>
      <c r="E132" s="128"/>
      <c r="F132" s="129">
        <f>(((0.9/2)*(0.9/2)*3.141592654*12)*8)*1.05</f>
        <v>64.126189253448018</v>
      </c>
      <c r="G132" s="102"/>
      <c r="H132" s="124"/>
      <c r="I132" s="130"/>
      <c r="J132" s="60"/>
      <c r="K132" s="60"/>
      <c r="L132" s="60"/>
      <c r="M132" s="60"/>
      <c r="N132" s="60"/>
      <c r="O132" s="60"/>
      <c r="P132" s="60"/>
      <c r="Q132" s="60"/>
      <c r="R132" s="60"/>
      <c r="S132" s="60"/>
    </row>
    <row r="133" spans="1:19" s="61" customFormat="1" ht="13.5" customHeight="1">
      <c r="A133" s="126"/>
      <c r="B133" s="127"/>
      <c r="C133" s="127"/>
      <c r="D133" s="106" t="s">
        <v>616</v>
      </c>
      <c r="E133" s="128"/>
      <c r="F133" s="129">
        <f>(((0.9/2)*(0.9/2)*3.141592654*14)*6)*1.05</f>
        <v>56.110415596767005</v>
      </c>
      <c r="G133" s="102"/>
      <c r="H133" s="124"/>
      <c r="I133" s="130"/>
      <c r="J133" s="60"/>
      <c r="K133" s="60"/>
      <c r="L133" s="60"/>
      <c r="M133" s="60"/>
      <c r="N133" s="60"/>
      <c r="O133" s="60"/>
      <c r="P133" s="60"/>
      <c r="Q133" s="60"/>
      <c r="R133" s="60"/>
      <c r="S133" s="60"/>
    </row>
    <row r="134" spans="1:19" s="61" customFormat="1" ht="13.5" customHeight="1">
      <c r="A134" s="126"/>
      <c r="B134" s="127"/>
      <c r="C134" s="127"/>
      <c r="D134" s="106" t="s">
        <v>617</v>
      </c>
      <c r="E134" s="127"/>
      <c r="F134" s="129">
        <f>(((0.9/2)*(0.9/2)*3.141592654*9)*2)*1.05</f>
        <v>12.023660485021502</v>
      </c>
      <c r="G134" s="132"/>
      <c r="H134" s="132"/>
      <c r="I134" s="133"/>
      <c r="J134" s="60"/>
      <c r="K134" s="60"/>
      <c r="L134" s="60"/>
      <c r="M134" s="60"/>
      <c r="N134" s="60"/>
      <c r="O134" s="60"/>
      <c r="P134" s="60"/>
      <c r="Q134" s="60"/>
      <c r="R134" s="60"/>
      <c r="S134" s="60"/>
    </row>
    <row r="135" spans="1:19" s="61" customFormat="1" ht="13.5" customHeight="1">
      <c r="A135" s="126"/>
      <c r="B135" s="127"/>
      <c r="C135" s="127"/>
      <c r="D135" s="106" t="s">
        <v>618</v>
      </c>
      <c r="E135" s="127"/>
      <c r="F135" s="129">
        <f>(((0.9/2)*(0.9/2)*3.141592654*20)*4)*1.05</f>
        <v>53.438491044540008</v>
      </c>
      <c r="G135" s="132"/>
      <c r="H135" s="132"/>
      <c r="I135" s="133"/>
      <c r="J135" s="60"/>
      <c r="K135" s="60"/>
      <c r="L135" s="60"/>
      <c r="M135" s="60"/>
      <c r="N135" s="60"/>
      <c r="O135" s="60"/>
      <c r="P135" s="60"/>
      <c r="Q135" s="60"/>
      <c r="R135" s="60"/>
      <c r="S135" s="60"/>
    </row>
    <row r="136" spans="1:19" s="61" customFormat="1" ht="13.5" customHeight="1">
      <c r="A136" s="126"/>
      <c r="B136" s="127"/>
      <c r="C136" s="127"/>
      <c r="D136" s="106" t="s">
        <v>619</v>
      </c>
      <c r="E136" s="127"/>
      <c r="F136" s="129">
        <f>(((0.63/2)*(0.63/2)*3.141592654*20)*2)*1.05</f>
        <v>13.092430305912302</v>
      </c>
      <c r="G136" s="132"/>
      <c r="H136" s="132"/>
      <c r="I136" s="133"/>
      <c r="J136" s="60"/>
      <c r="K136" s="60"/>
      <c r="L136" s="60"/>
      <c r="M136" s="60"/>
      <c r="N136" s="60"/>
      <c r="O136" s="60"/>
      <c r="P136" s="60"/>
      <c r="Q136" s="60"/>
      <c r="R136" s="60"/>
      <c r="S136" s="60"/>
    </row>
    <row r="137" spans="1:19" s="61" customFormat="1" ht="13.5" customHeight="1">
      <c r="A137" s="126"/>
      <c r="B137" s="127"/>
      <c r="C137" s="127"/>
      <c r="D137" s="134" t="s">
        <v>620</v>
      </c>
      <c r="E137" s="127"/>
      <c r="F137" s="129">
        <f>(((0.63/2)*(0.63/2)*3.141592654*0.3)*8)*1.05</f>
        <v>0.78554581835473802</v>
      </c>
      <c r="G137" s="132"/>
      <c r="H137" s="132"/>
      <c r="I137" s="133"/>
      <c r="J137" s="135"/>
      <c r="K137" s="60"/>
      <c r="L137" s="60"/>
      <c r="M137" s="60"/>
      <c r="N137" s="60"/>
      <c r="O137" s="60"/>
      <c r="P137" s="60"/>
      <c r="Q137" s="60"/>
      <c r="R137" s="60"/>
      <c r="S137" s="60"/>
    </row>
    <row r="138" spans="1:19" s="61" customFormat="1" ht="13.5" customHeight="1">
      <c r="A138" s="126"/>
      <c r="B138" s="127"/>
      <c r="C138" s="127"/>
      <c r="D138" s="134" t="s">
        <v>621</v>
      </c>
      <c r="E138" s="127"/>
      <c r="F138" s="129">
        <f>(((0.9/2)*(0.9/2)*3.141592654*0.3)*8)*1.05</f>
        <v>1.6031547313362002</v>
      </c>
      <c r="G138" s="132"/>
      <c r="H138" s="132"/>
      <c r="I138" s="133"/>
      <c r="J138" s="135"/>
      <c r="K138" s="60"/>
      <c r="L138" s="60"/>
      <c r="M138" s="60"/>
      <c r="N138" s="60"/>
      <c r="O138" s="60"/>
      <c r="P138" s="60"/>
      <c r="Q138" s="60"/>
      <c r="R138" s="60"/>
      <c r="S138" s="60"/>
    </row>
    <row r="139" spans="1:19" s="61" customFormat="1" ht="13.5" customHeight="1">
      <c r="A139" s="126"/>
      <c r="B139" s="127"/>
      <c r="C139" s="127"/>
      <c r="D139" s="134" t="s">
        <v>622</v>
      </c>
      <c r="E139" s="127"/>
      <c r="F139" s="129">
        <f>(((0.9/2)*(0.9/2)*3.141592654*0.3)*6)*1.05</f>
        <v>1.2023660485021501</v>
      </c>
      <c r="G139" s="132"/>
      <c r="H139" s="132"/>
      <c r="I139" s="133"/>
      <c r="J139" s="60"/>
      <c r="K139" s="87"/>
      <c r="L139" s="60"/>
      <c r="M139" s="60"/>
      <c r="N139" s="60"/>
      <c r="O139" s="60"/>
      <c r="P139" s="60"/>
      <c r="Q139" s="60"/>
      <c r="R139" s="60"/>
      <c r="S139" s="60"/>
    </row>
    <row r="140" spans="1:19" s="61" customFormat="1" ht="13.5" customHeight="1">
      <c r="A140" s="111"/>
      <c r="B140" s="112"/>
      <c r="C140" s="112"/>
      <c r="D140" s="134" t="s">
        <v>623</v>
      </c>
      <c r="E140" s="112"/>
      <c r="F140" s="129">
        <f>(((0.9/2)*(0.9/2)*3.141592654*0.3)*2)*1.05</f>
        <v>0.40078868283405006</v>
      </c>
      <c r="G140" s="114"/>
      <c r="H140" s="114"/>
      <c r="I140" s="53"/>
      <c r="J140" s="60"/>
      <c r="K140" s="60"/>
      <c r="L140" s="60"/>
      <c r="M140" s="60"/>
      <c r="N140" s="60"/>
      <c r="O140" s="60"/>
      <c r="P140" s="60"/>
      <c r="Q140" s="60"/>
      <c r="R140" s="60"/>
      <c r="S140" s="60"/>
    </row>
    <row r="141" spans="1:19" s="61" customFormat="1" ht="13.5" customHeight="1">
      <c r="A141" s="126"/>
      <c r="B141" s="127"/>
      <c r="C141" s="127"/>
      <c r="D141" s="134" t="s">
        <v>624</v>
      </c>
      <c r="E141" s="127"/>
      <c r="F141" s="129">
        <f>(((0.9/2)*(0.9/2)*3.141592654*0.3)*4)*1.05</f>
        <v>0.80157736566810012</v>
      </c>
      <c r="G141" s="132"/>
      <c r="H141" s="132"/>
      <c r="I141" s="133"/>
      <c r="J141" s="60"/>
      <c r="K141" s="60"/>
      <c r="L141" s="60"/>
      <c r="M141" s="60"/>
      <c r="N141" s="60"/>
      <c r="O141" s="60"/>
      <c r="P141" s="60"/>
      <c r="Q141" s="60"/>
      <c r="R141" s="60"/>
      <c r="S141" s="60"/>
    </row>
    <row r="142" spans="1:19" s="61" customFormat="1" ht="13.5" customHeight="1">
      <c r="A142" s="111"/>
      <c r="B142" s="112"/>
      <c r="C142" s="112"/>
      <c r="D142" s="134" t="s">
        <v>625</v>
      </c>
      <c r="E142" s="112"/>
      <c r="F142" s="129">
        <f>(((0.63/2)*(0.63/2)*3.141592654*0.3)*2)*1.05</f>
        <v>0.19638645458868451</v>
      </c>
      <c r="G142" s="114"/>
      <c r="H142" s="114"/>
      <c r="I142" s="53"/>
      <c r="J142" s="60"/>
      <c r="K142" s="136"/>
      <c r="L142" s="136"/>
      <c r="M142" s="60"/>
      <c r="N142" s="60"/>
      <c r="O142" s="60"/>
      <c r="P142" s="60"/>
      <c r="Q142" s="60"/>
      <c r="R142" s="60"/>
      <c r="S142" s="60"/>
    </row>
    <row r="143" spans="1:19" s="61" customFormat="1" ht="13.5" customHeight="1">
      <c r="A143" s="45">
        <v>40</v>
      </c>
      <c r="B143" s="51" t="s">
        <v>559</v>
      </c>
      <c r="C143" s="46">
        <v>231611114</v>
      </c>
      <c r="D143" s="46" t="s">
        <v>626</v>
      </c>
      <c r="E143" s="46" t="s">
        <v>35</v>
      </c>
      <c r="F143" s="96">
        <f>F144</f>
        <v>21.652380952380952</v>
      </c>
      <c r="G143" s="11"/>
      <c r="H143" s="47">
        <f>F143*G143</f>
        <v>0</v>
      </c>
      <c r="I143" s="48" t="s">
        <v>183</v>
      </c>
      <c r="J143" s="135"/>
      <c r="K143" s="60"/>
      <c r="L143" s="60"/>
      <c r="M143" s="60"/>
      <c r="N143" s="60"/>
      <c r="O143" s="60"/>
      <c r="P143" s="60"/>
      <c r="Q143" s="60"/>
      <c r="R143" s="60"/>
      <c r="S143" s="60"/>
    </row>
    <row r="144" spans="1:19" s="61" customFormat="1" ht="13.5" customHeight="1">
      <c r="A144" s="45"/>
      <c r="B144" s="46"/>
      <c r="C144" s="46"/>
      <c r="D144" s="137" t="s">
        <v>627</v>
      </c>
      <c r="E144" s="46"/>
      <c r="F144" s="52">
        <f>((227.35)/1.05)*0.1</f>
        <v>21.652380952380952</v>
      </c>
      <c r="G144" s="47"/>
      <c r="H144" s="47"/>
      <c r="I144" s="48"/>
      <c r="J144" s="60"/>
      <c r="K144" s="60"/>
      <c r="L144" s="60"/>
      <c r="M144" s="60"/>
      <c r="N144" s="60"/>
      <c r="O144" s="60"/>
      <c r="P144" s="60"/>
      <c r="Q144" s="60"/>
      <c r="R144" s="60"/>
      <c r="S144" s="60"/>
    </row>
    <row r="145" spans="1:19" s="61" customFormat="1" ht="13.5" customHeight="1">
      <c r="A145" s="45">
        <v>41</v>
      </c>
      <c r="B145" s="51" t="s">
        <v>559</v>
      </c>
      <c r="C145" s="46">
        <v>239111112</v>
      </c>
      <c r="D145" s="46" t="s">
        <v>628</v>
      </c>
      <c r="E145" s="46" t="s">
        <v>67</v>
      </c>
      <c r="F145" s="96">
        <f>SUM(F146:F146)</f>
        <v>3</v>
      </c>
      <c r="G145" s="11"/>
      <c r="H145" s="47">
        <f>F145*G145</f>
        <v>0</v>
      </c>
      <c r="I145" s="48" t="s">
        <v>183</v>
      </c>
      <c r="J145" s="135"/>
      <c r="K145" s="60"/>
      <c r="L145" s="60"/>
      <c r="M145" s="60"/>
      <c r="N145" s="60"/>
      <c r="O145" s="60"/>
      <c r="P145" s="60"/>
      <c r="Q145" s="60"/>
      <c r="R145" s="60"/>
      <c r="S145" s="60"/>
    </row>
    <row r="146" spans="1:19" s="61" customFormat="1" ht="13.5" customHeight="1">
      <c r="A146" s="45"/>
      <c r="B146" s="46"/>
      <c r="C146" s="46"/>
      <c r="D146" s="42" t="s">
        <v>629</v>
      </c>
      <c r="E146" s="46"/>
      <c r="F146" s="52">
        <f>10*0.3</f>
        <v>3</v>
      </c>
      <c r="G146" s="47"/>
      <c r="H146" s="47"/>
      <c r="I146" s="48"/>
      <c r="J146" s="131"/>
      <c r="K146" s="135"/>
      <c r="L146" s="60"/>
      <c r="M146" s="60"/>
      <c r="N146" s="60"/>
      <c r="O146" s="60"/>
      <c r="P146" s="60"/>
      <c r="Q146" s="60"/>
      <c r="R146" s="60"/>
      <c r="S146" s="60"/>
    </row>
    <row r="147" spans="1:19" s="61" customFormat="1" ht="13.5" customHeight="1">
      <c r="A147" s="45">
        <v>42</v>
      </c>
      <c r="B147" s="51" t="s">
        <v>559</v>
      </c>
      <c r="C147" s="46">
        <v>239111113</v>
      </c>
      <c r="D147" s="46" t="s">
        <v>630</v>
      </c>
      <c r="E147" s="46" t="s">
        <v>67</v>
      </c>
      <c r="F147" s="96">
        <f>SUM(F148:F148)</f>
        <v>6</v>
      </c>
      <c r="G147" s="11"/>
      <c r="H147" s="47">
        <f>F147*G147</f>
        <v>0</v>
      </c>
      <c r="I147" s="48" t="s">
        <v>183</v>
      </c>
      <c r="J147" s="135"/>
      <c r="K147" s="60"/>
      <c r="L147" s="60"/>
      <c r="M147" s="60"/>
      <c r="N147" s="60"/>
      <c r="O147" s="60"/>
      <c r="P147" s="60"/>
      <c r="Q147" s="60"/>
      <c r="R147" s="60"/>
      <c r="S147" s="60"/>
    </row>
    <row r="148" spans="1:19" s="61" customFormat="1" ht="13.5" customHeight="1">
      <c r="A148" s="45"/>
      <c r="B148" s="46"/>
      <c r="C148" s="46"/>
      <c r="D148" s="83" t="s">
        <v>631</v>
      </c>
      <c r="E148" s="46"/>
      <c r="F148" s="52">
        <f>20*0.3</f>
        <v>6</v>
      </c>
      <c r="G148" s="47"/>
      <c r="H148" s="47"/>
      <c r="I148" s="48"/>
      <c r="J148" s="131"/>
      <c r="K148" s="122"/>
      <c r="L148" s="60"/>
      <c r="M148" s="60"/>
      <c r="N148" s="60"/>
      <c r="O148" s="60"/>
      <c r="P148" s="60"/>
      <c r="Q148" s="60"/>
      <c r="R148" s="60"/>
      <c r="S148" s="60"/>
    </row>
    <row r="149" spans="1:19" s="139" customFormat="1" ht="13.5" customHeight="1">
      <c r="A149" s="45">
        <v>43</v>
      </c>
      <c r="B149" s="51" t="s">
        <v>98</v>
      </c>
      <c r="C149" s="46">
        <v>271572211</v>
      </c>
      <c r="D149" s="46" t="s">
        <v>207</v>
      </c>
      <c r="E149" s="46" t="s">
        <v>27</v>
      </c>
      <c r="F149" s="50">
        <f>SUM(F150:F153)</f>
        <v>403.07499999999999</v>
      </c>
      <c r="G149" s="11"/>
      <c r="H149" s="47">
        <f>F149*G149</f>
        <v>0</v>
      </c>
      <c r="I149" s="48" t="s">
        <v>183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</row>
    <row r="150" spans="1:19" s="139" customFormat="1" ht="13.5" customHeight="1">
      <c r="A150" s="140"/>
      <c r="B150" s="42"/>
      <c r="C150" s="42"/>
      <c r="D150" s="42" t="s">
        <v>476</v>
      </c>
      <c r="E150" s="42"/>
      <c r="F150" s="52">
        <f>(631.4)*0.45</f>
        <v>284.13</v>
      </c>
      <c r="G150" s="141"/>
      <c r="H150" s="141"/>
      <c r="I150" s="142"/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</row>
    <row r="151" spans="1:19" s="139" customFormat="1" ht="13.5" customHeight="1">
      <c r="A151" s="140"/>
      <c r="B151" s="42"/>
      <c r="C151" s="42"/>
      <c r="D151" s="42" t="s">
        <v>345</v>
      </c>
      <c r="E151" s="42"/>
      <c r="F151" s="52">
        <f>(44.6*2.6*0.9)-6.2</f>
        <v>98.164000000000001</v>
      </c>
      <c r="G151" s="141"/>
      <c r="H151" s="141"/>
      <c r="I151" s="142"/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</row>
    <row r="152" spans="1:19" s="139" customFormat="1" ht="13.5" customHeight="1">
      <c r="A152" s="140"/>
      <c r="B152" s="42"/>
      <c r="C152" s="42"/>
      <c r="D152" s="42" t="s">
        <v>357</v>
      </c>
      <c r="E152" s="42"/>
      <c r="F152" s="52">
        <f>(2.52*2.65)*2</f>
        <v>13.356</v>
      </c>
      <c r="G152" s="141"/>
      <c r="H152" s="141"/>
      <c r="I152" s="142"/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</row>
    <row r="153" spans="1:19" s="139" customFormat="1" ht="13.5" customHeight="1">
      <c r="A153" s="140"/>
      <c r="B153" s="42"/>
      <c r="C153" s="42"/>
      <c r="D153" s="42" t="s">
        <v>641</v>
      </c>
      <c r="E153" s="42"/>
      <c r="F153" s="52">
        <f>(2.7*2.75*2)*0.5</f>
        <v>7.4250000000000007</v>
      </c>
      <c r="G153" s="141"/>
      <c r="H153" s="141"/>
      <c r="I153" s="142"/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</row>
    <row r="154" spans="1:19" s="60" customFormat="1" ht="13.5" customHeight="1">
      <c r="A154" s="45">
        <v>44</v>
      </c>
      <c r="B154" s="51" t="s">
        <v>98</v>
      </c>
      <c r="C154" s="46">
        <v>273322511</v>
      </c>
      <c r="D154" s="46" t="s">
        <v>367</v>
      </c>
      <c r="E154" s="46" t="s">
        <v>27</v>
      </c>
      <c r="F154" s="143">
        <f>SUM(F155:F156)</f>
        <v>93.562875000000005</v>
      </c>
      <c r="G154" s="11"/>
      <c r="H154" s="47">
        <f>F154*G154</f>
        <v>0</v>
      </c>
      <c r="I154" s="48" t="s">
        <v>183</v>
      </c>
      <c r="R154" s="97"/>
    </row>
    <row r="155" spans="1:19" s="61" customFormat="1" ht="13.5" customHeight="1">
      <c r="A155" s="45"/>
      <c r="B155" s="46"/>
      <c r="C155" s="46"/>
      <c r="D155" s="42" t="s">
        <v>347</v>
      </c>
      <c r="E155" s="46"/>
      <c r="F155" s="52">
        <f>((3.95+4.15)*3.2)*1.05</f>
        <v>27.216000000000008</v>
      </c>
      <c r="G155" s="47"/>
      <c r="H155" s="47"/>
      <c r="I155" s="48"/>
      <c r="J155" s="60"/>
      <c r="K155" s="60"/>
      <c r="L155" s="60"/>
      <c r="M155" s="60"/>
      <c r="N155" s="60"/>
      <c r="O155" s="60"/>
      <c r="P155" s="60"/>
      <c r="Q155" s="60"/>
      <c r="R155" s="60"/>
      <c r="S155" s="60"/>
    </row>
    <row r="156" spans="1:19" s="61" customFormat="1" ht="13.5" customHeight="1">
      <c r="A156" s="45"/>
      <c r="B156" s="46"/>
      <c r="C156" s="46"/>
      <c r="D156" s="83" t="s">
        <v>346</v>
      </c>
      <c r="E156" s="46"/>
      <c r="F156" s="52">
        <f>(421.25*0.15)*1.05</f>
        <v>66.346874999999997</v>
      </c>
      <c r="G156" s="47"/>
      <c r="H156" s="47"/>
      <c r="I156" s="48"/>
      <c r="J156" s="60"/>
      <c r="K156" s="60"/>
      <c r="L156" s="60"/>
      <c r="M156" s="60"/>
      <c r="N156" s="60"/>
      <c r="O156" s="60"/>
      <c r="P156" s="60"/>
      <c r="Q156" s="60"/>
      <c r="R156" s="60"/>
      <c r="S156" s="60"/>
    </row>
    <row r="157" spans="1:19" s="61" customFormat="1" ht="27" customHeight="1">
      <c r="A157" s="144"/>
      <c r="B157" s="145"/>
      <c r="C157" s="145"/>
      <c r="D157" s="42" t="s">
        <v>198</v>
      </c>
      <c r="E157" s="145"/>
      <c r="F157" s="146"/>
      <c r="G157" s="147"/>
      <c r="H157" s="47"/>
      <c r="I157" s="48"/>
      <c r="J157" s="60"/>
      <c r="K157" s="60"/>
      <c r="L157" s="60"/>
      <c r="M157" s="60"/>
      <c r="N157" s="60"/>
      <c r="O157" s="60"/>
      <c r="P157" s="60"/>
      <c r="Q157" s="60"/>
      <c r="R157" s="60"/>
      <c r="S157" s="60"/>
    </row>
    <row r="158" spans="1:19" s="61" customFormat="1" ht="13.5" customHeight="1">
      <c r="A158" s="45">
        <v>45</v>
      </c>
      <c r="B158" s="51" t="s">
        <v>98</v>
      </c>
      <c r="C158" s="46">
        <v>273351215</v>
      </c>
      <c r="D158" s="46" t="s">
        <v>37</v>
      </c>
      <c r="E158" s="46" t="s">
        <v>21</v>
      </c>
      <c r="F158" s="50">
        <f>SUM(F159:F160)</f>
        <v>42.49</v>
      </c>
      <c r="G158" s="11"/>
      <c r="H158" s="47">
        <f>F158*G158</f>
        <v>0</v>
      </c>
      <c r="I158" s="48" t="s">
        <v>183</v>
      </c>
      <c r="J158" s="60"/>
      <c r="K158" s="60"/>
      <c r="L158" s="60"/>
      <c r="M158" s="60"/>
      <c r="N158" s="60"/>
      <c r="O158" s="60"/>
      <c r="P158" s="60"/>
      <c r="Q158" s="60"/>
      <c r="R158" s="60"/>
      <c r="S158" s="60"/>
    </row>
    <row r="159" spans="1:19" s="139" customFormat="1" ht="13.5" customHeight="1">
      <c r="A159" s="140"/>
      <c r="B159" s="42"/>
      <c r="C159" s="42"/>
      <c r="D159" s="42" t="s">
        <v>348</v>
      </c>
      <c r="E159" s="42"/>
      <c r="F159" s="52">
        <f>9.88+10.38+3.2</f>
        <v>23.46</v>
      </c>
      <c r="G159" s="47"/>
      <c r="H159" s="141"/>
      <c r="I159" s="142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</row>
    <row r="160" spans="1:19" s="139" customFormat="1" ht="13.5" customHeight="1">
      <c r="A160" s="140"/>
      <c r="B160" s="42"/>
      <c r="C160" s="42"/>
      <c r="D160" s="83" t="s">
        <v>349</v>
      </c>
      <c r="E160" s="42"/>
      <c r="F160" s="52">
        <f>19.03</f>
        <v>19.03</v>
      </c>
      <c r="G160" s="47"/>
      <c r="H160" s="141"/>
      <c r="I160" s="142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</row>
    <row r="161" spans="1:19" s="61" customFormat="1" ht="13.5" customHeight="1">
      <c r="A161" s="45">
        <v>46</v>
      </c>
      <c r="B161" s="51" t="s">
        <v>98</v>
      </c>
      <c r="C161" s="46">
        <v>273351216</v>
      </c>
      <c r="D161" s="46" t="s">
        <v>38</v>
      </c>
      <c r="E161" s="46" t="s">
        <v>21</v>
      </c>
      <c r="F161" s="50">
        <f>F158</f>
        <v>42.49</v>
      </c>
      <c r="G161" s="11"/>
      <c r="H161" s="47">
        <f>F161*G161</f>
        <v>0</v>
      </c>
      <c r="I161" s="48" t="s">
        <v>183</v>
      </c>
      <c r="J161" s="60"/>
      <c r="K161" s="60"/>
      <c r="L161" s="60"/>
      <c r="M161" s="60"/>
      <c r="N161" s="60"/>
      <c r="O161" s="60"/>
      <c r="P161" s="60"/>
      <c r="Q161" s="60"/>
      <c r="R161" s="60"/>
      <c r="S161" s="60"/>
    </row>
    <row r="162" spans="1:19" s="61" customFormat="1" ht="13.5" customHeight="1">
      <c r="A162" s="45">
        <v>47</v>
      </c>
      <c r="B162" s="51" t="s">
        <v>98</v>
      </c>
      <c r="C162" s="46">
        <v>273361821</v>
      </c>
      <c r="D162" s="46" t="s">
        <v>258</v>
      </c>
      <c r="E162" s="46" t="s">
        <v>35</v>
      </c>
      <c r="F162" s="50">
        <f>SUM(F163)</f>
        <v>14.258285714285712</v>
      </c>
      <c r="G162" s="11"/>
      <c r="H162" s="47">
        <f>F162*G162</f>
        <v>0</v>
      </c>
      <c r="I162" s="48" t="s">
        <v>183</v>
      </c>
      <c r="J162" s="60"/>
      <c r="K162" s="60"/>
      <c r="L162" s="60"/>
      <c r="M162" s="60"/>
      <c r="N162" s="60"/>
      <c r="O162" s="60"/>
      <c r="P162" s="60"/>
      <c r="Q162" s="60"/>
      <c r="R162" s="60"/>
      <c r="S162" s="60"/>
    </row>
    <row r="163" spans="1:19" s="139" customFormat="1" ht="27" customHeight="1">
      <c r="A163" s="140"/>
      <c r="B163" s="42"/>
      <c r="C163" s="42"/>
      <c r="D163" s="83" t="s">
        <v>415</v>
      </c>
      <c r="E163" s="42"/>
      <c r="F163" s="52">
        <f>((27.22+66.35)/1.05)*0.16</f>
        <v>14.258285714285712</v>
      </c>
      <c r="G163" s="141"/>
      <c r="H163" s="141"/>
      <c r="I163" s="142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</row>
    <row r="164" spans="1:19" s="60" customFormat="1" ht="13.5" customHeight="1">
      <c r="A164" s="45">
        <v>48</v>
      </c>
      <c r="B164" s="51" t="s">
        <v>98</v>
      </c>
      <c r="C164" s="46">
        <v>274322511</v>
      </c>
      <c r="D164" s="46" t="s">
        <v>368</v>
      </c>
      <c r="E164" s="46" t="s">
        <v>27</v>
      </c>
      <c r="F164" s="143">
        <f>SUM(F165:F168)</f>
        <v>75.408900000000017</v>
      </c>
      <c r="G164" s="11"/>
      <c r="H164" s="47">
        <f>F164*G164</f>
        <v>0</v>
      </c>
      <c r="I164" s="48" t="s">
        <v>183</v>
      </c>
      <c r="R164" s="97"/>
    </row>
    <row r="165" spans="1:19" s="61" customFormat="1" ht="13.5" customHeight="1">
      <c r="A165" s="45"/>
      <c r="B165" s="46"/>
      <c r="C165" s="46"/>
      <c r="D165" s="42" t="s">
        <v>396</v>
      </c>
      <c r="E165" s="46"/>
      <c r="F165" s="52">
        <f>(3.933+3.933+1.54+4.275+4.894+1.54+4.894+4.275)*1.05</f>
        <v>30.748200000000001</v>
      </c>
      <c r="G165" s="47"/>
      <c r="H165" s="47"/>
      <c r="I165" s="48"/>
      <c r="J165" s="148"/>
      <c r="K165" s="81"/>
      <c r="L165" s="60"/>
      <c r="M165" s="60"/>
      <c r="N165" s="60"/>
      <c r="O165" s="60"/>
      <c r="P165" s="60"/>
      <c r="Q165" s="60"/>
      <c r="R165" s="60"/>
      <c r="S165" s="60"/>
    </row>
    <row r="166" spans="1:19" s="61" customFormat="1" ht="13.5" customHeight="1">
      <c r="A166" s="45"/>
      <c r="B166" s="46"/>
      <c r="C166" s="46"/>
      <c r="D166" s="42" t="s">
        <v>323</v>
      </c>
      <c r="E166" s="46"/>
      <c r="F166" s="52">
        <f>(0.84+1.152+0.36+0.86)*1.05</f>
        <v>3.3725999999999998</v>
      </c>
      <c r="G166" s="47"/>
      <c r="H166" s="47"/>
      <c r="I166" s="48"/>
      <c r="J166" s="148"/>
      <c r="K166" s="81"/>
      <c r="L166" s="60"/>
      <c r="M166" s="60"/>
      <c r="N166" s="60"/>
      <c r="O166" s="60"/>
      <c r="P166" s="60"/>
      <c r="Q166" s="60"/>
      <c r="R166" s="60"/>
      <c r="S166" s="60"/>
    </row>
    <row r="167" spans="1:19" s="61" customFormat="1" ht="27" customHeight="1">
      <c r="A167" s="45"/>
      <c r="B167" s="46"/>
      <c r="C167" s="46"/>
      <c r="D167" s="42" t="s">
        <v>324</v>
      </c>
      <c r="E167" s="46"/>
      <c r="F167" s="52">
        <f>(1.257+1.227+0.567+1.721+1.721+1.228+1.253+1.253)*1.05</f>
        <v>10.738350000000001</v>
      </c>
      <c r="G167" s="47"/>
      <c r="H167" s="47"/>
      <c r="I167" s="48"/>
      <c r="J167" s="148"/>
      <c r="K167" s="81"/>
      <c r="L167" s="60"/>
      <c r="M167" s="60"/>
      <c r="N167" s="60"/>
      <c r="O167" s="60"/>
      <c r="P167" s="60"/>
      <c r="Q167" s="60"/>
      <c r="R167" s="60"/>
      <c r="S167" s="60"/>
    </row>
    <row r="168" spans="1:19" s="61" customFormat="1" ht="67.5" customHeight="1">
      <c r="A168" s="45"/>
      <c r="B168" s="46"/>
      <c r="C168" s="46"/>
      <c r="D168" s="42" t="s">
        <v>325</v>
      </c>
      <c r="E168" s="46"/>
      <c r="F168" s="52">
        <f>(0.069+0.55+0.42+0.42+0.069+0.482+0.482+0.316+0.106+1.059+0.923+0.107+0.161+0.125+0.641+0.808+0.647+0.126+0.126+0.708+1.773+1.773+0.245+0.416+0.416+1.059+0.245+0.012+0.068+0.012+0.536+0.068+0.298+1.143+0.35+0.984+0.554+1.169+0.922+0.347+0.711+0.262+2.266+1.298+0.393+0.195+1.298+0.033+0.368+1.536)*1.05</f>
        <v>30.54975000000001</v>
      </c>
      <c r="G168" s="47"/>
      <c r="H168" s="47"/>
      <c r="I168" s="48"/>
      <c r="J168" s="148"/>
      <c r="K168" s="81"/>
      <c r="L168" s="60"/>
      <c r="M168" s="60"/>
      <c r="N168" s="60"/>
      <c r="O168" s="60"/>
      <c r="P168" s="60"/>
      <c r="Q168" s="60"/>
      <c r="R168" s="60"/>
      <c r="S168" s="60"/>
    </row>
    <row r="169" spans="1:19" s="61" customFormat="1" ht="27" customHeight="1">
      <c r="A169" s="144"/>
      <c r="B169" s="145"/>
      <c r="C169" s="145"/>
      <c r="D169" s="42" t="s">
        <v>198</v>
      </c>
      <c r="E169" s="145"/>
      <c r="F169" s="146"/>
      <c r="G169" s="147"/>
      <c r="H169" s="47"/>
      <c r="I169" s="48"/>
      <c r="J169" s="60"/>
      <c r="K169" s="81"/>
      <c r="L169" s="60"/>
      <c r="M169" s="60"/>
      <c r="N169" s="60"/>
      <c r="O169" s="60"/>
      <c r="P169" s="60"/>
      <c r="Q169" s="60"/>
      <c r="R169" s="60"/>
      <c r="S169" s="60"/>
    </row>
    <row r="170" spans="1:19" s="60" customFormat="1" ht="27" customHeight="1">
      <c r="A170" s="45">
        <v>49</v>
      </c>
      <c r="B170" s="51" t="s">
        <v>98</v>
      </c>
      <c r="C170" s="46" t="s">
        <v>416</v>
      </c>
      <c r="D170" s="46" t="s">
        <v>417</v>
      </c>
      <c r="E170" s="46" t="s">
        <v>27</v>
      </c>
      <c r="F170" s="143">
        <f>SUM(F171)</f>
        <v>28.204049999999999</v>
      </c>
      <c r="G170" s="11"/>
      <c r="H170" s="47">
        <f>F170*G170</f>
        <v>0</v>
      </c>
      <c r="I170" s="48" t="s">
        <v>259</v>
      </c>
      <c r="J170" s="148"/>
      <c r="R170" s="97"/>
    </row>
    <row r="171" spans="1:19" s="60" customFormat="1" ht="27" customHeight="1">
      <c r="A171" s="45"/>
      <c r="B171" s="51"/>
      <c r="C171" s="46"/>
      <c r="D171" s="83" t="s">
        <v>397</v>
      </c>
      <c r="E171" s="46"/>
      <c r="F171" s="52">
        <f>(3.827+2.428+3.827+2.428+0.225+3.827+2.428+3.827+1.915+2.025+0.104)*1.05</f>
        <v>28.204049999999999</v>
      </c>
      <c r="G171" s="47"/>
      <c r="H171" s="47"/>
      <c r="I171" s="48"/>
      <c r="R171" s="97"/>
    </row>
    <row r="172" spans="1:19" s="61" customFormat="1" ht="13.5" customHeight="1">
      <c r="A172" s="45">
        <v>50</v>
      </c>
      <c r="B172" s="51" t="s">
        <v>98</v>
      </c>
      <c r="C172" s="46">
        <v>274351121</v>
      </c>
      <c r="D172" s="46" t="s">
        <v>369</v>
      </c>
      <c r="E172" s="46" t="s">
        <v>21</v>
      </c>
      <c r="F172" s="50">
        <f>SUM(F173:F176)</f>
        <v>584.322</v>
      </c>
      <c r="G172" s="11"/>
      <c r="H172" s="47">
        <f>F172*G172</f>
        <v>0</v>
      </c>
      <c r="I172" s="48" t="s">
        <v>183</v>
      </c>
      <c r="J172" s="60"/>
      <c r="K172" s="60"/>
      <c r="L172" s="60"/>
      <c r="M172" s="60"/>
      <c r="N172" s="60"/>
      <c r="O172" s="60"/>
      <c r="P172" s="60"/>
      <c r="Q172" s="60"/>
      <c r="R172" s="60"/>
      <c r="S172" s="60"/>
    </row>
    <row r="173" spans="1:19" s="139" customFormat="1" ht="40.5" customHeight="1">
      <c r="A173" s="140"/>
      <c r="B173" s="42"/>
      <c r="C173" s="42"/>
      <c r="D173" s="42" t="s">
        <v>326</v>
      </c>
      <c r="E173" s="42"/>
      <c r="F173" s="52">
        <f>10.764+1.1+1.604+7.701+7.701+24.19+24.19+10.944+13.509+13.509+13.509+19.898+20.503+20.503+19.898+13.424+13.471+18.166+18.166</f>
        <v>272.75</v>
      </c>
      <c r="G173" s="141"/>
      <c r="H173" s="141"/>
      <c r="I173" s="142"/>
      <c r="J173" s="148"/>
      <c r="K173" s="81"/>
      <c r="L173" s="138"/>
      <c r="M173" s="138"/>
      <c r="N173" s="138"/>
      <c r="O173" s="60"/>
      <c r="P173" s="138"/>
      <c r="Q173" s="138"/>
      <c r="R173" s="138"/>
      <c r="S173" s="138"/>
    </row>
    <row r="174" spans="1:19" s="139" customFormat="1" ht="13.5" customHeight="1">
      <c r="A174" s="140"/>
      <c r="B174" s="42"/>
      <c r="C174" s="42"/>
      <c r="D174" s="42" t="s">
        <v>327</v>
      </c>
      <c r="E174" s="42"/>
      <c r="F174" s="52">
        <f>2.28+4.56+3.76+3.88</f>
        <v>14.48</v>
      </c>
      <c r="G174" s="141"/>
      <c r="H174" s="141"/>
      <c r="I174" s="142"/>
      <c r="J174" s="148"/>
      <c r="K174" s="81"/>
      <c r="L174" s="138"/>
      <c r="M174" s="138"/>
      <c r="N174" s="138"/>
      <c r="O174" s="60"/>
      <c r="P174" s="138"/>
      <c r="Q174" s="138"/>
      <c r="R174" s="138"/>
      <c r="S174" s="138"/>
    </row>
    <row r="175" spans="1:19" s="139" customFormat="1" ht="27" customHeight="1">
      <c r="A175" s="140"/>
      <c r="B175" s="42"/>
      <c r="C175" s="42"/>
      <c r="D175" s="42" t="s">
        <v>328</v>
      </c>
      <c r="E175" s="42"/>
      <c r="F175" s="52">
        <f>4.533+9.818+5.852+10.027+10.027+6.347+14.073+13.796</f>
        <v>74.472999999999999</v>
      </c>
      <c r="G175" s="141"/>
      <c r="H175" s="141"/>
      <c r="I175" s="142"/>
      <c r="J175" s="148"/>
      <c r="K175" s="81"/>
      <c r="L175" s="138"/>
      <c r="M175" s="138"/>
      <c r="N175" s="138"/>
      <c r="O175" s="60"/>
      <c r="P175" s="138"/>
      <c r="Q175" s="138"/>
      <c r="R175" s="138"/>
      <c r="S175" s="138"/>
    </row>
    <row r="176" spans="1:19" s="139" customFormat="1" ht="67.5" customHeight="1">
      <c r="A176" s="140"/>
      <c r="B176" s="42"/>
      <c r="C176" s="42"/>
      <c r="D176" s="42" t="s">
        <v>329</v>
      </c>
      <c r="E176" s="42"/>
      <c r="F176" s="52">
        <f>1.156+1.167+1.446+1.751+0.85+3.518+3.931+0.924+1.407+5.14+5.537+0.098+0.098+1.96+1.96+2.01+2.224+4.292+6.814+6.965+12.875+12.875+3.328+3.328+3.365+3.365+0.55+0.55+2.53+4.55+4.82+4.82+8.47+8.426+0.671+0.671+5.102+1.172+1.206+17.734+17.735+1.297+1.554+0.346+4.417+6.089+6.92+6.12+18.484+6.001</f>
        <v>222.61899999999997</v>
      </c>
      <c r="G176" s="141"/>
      <c r="H176" s="141"/>
      <c r="I176" s="142"/>
      <c r="J176" s="148"/>
      <c r="K176" s="81"/>
      <c r="L176" s="138"/>
      <c r="M176" s="138"/>
      <c r="N176" s="138"/>
      <c r="O176" s="60"/>
      <c r="P176" s="138"/>
      <c r="Q176" s="138"/>
      <c r="R176" s="138"/>
      <c r="S176" s="138"/>
    </row>
    <row r="177" spans="1:19" s="61" customFormat="1" ht="13.5" customHeight="1">
      <c r="A177" s="45">
        <v>51</v>
      </c>
      <c r="B177" s="51" t="s">
        <v>98</v>
      </c>
      <c r="C177" s="46">
        <v>274351122</v>
      </c>
      <c r="D177" s="46" t="s">
        <v>370</v>
      </c>
      <c r="E177" s="46" t="s">
        <v>21</v>
      </c>
      <c r="F177" s="50">
        <f>F172</f>
        <v>584.322</v>
      </c>
      <c r="G177" s="11"/>
      <c r="H177" s="47">
        <f>F177*G177</f>
        <v>0</v>
      </c>
      <c r="I177" s="48" t="s">
        <v>183</v>
      </c>
      <c r="J177" s="60"/>
      <c r="K177" s="60"/>
      <c r="L177" s="60"/>
      <c r="M177" s="60"/>
      <c r="N177" s="60"/>
      <c r="O177" s="60"/>
      <c r="P177" s="60"/>
      <c r="Q177" s="60"/>
      <c r="R177" s="60"/>
      <c r="S177" s="60"/>
    </row>
    <row r="178" spans="1:19" s="60" customFormat="1" ht="13.5" customHeight="1">
      <c r="A178" s="45">
        <v>52</v>
      </c>
      <c r="B178" s="51" t="s">
        <v>98</v>
      </c>
      <c r="C178" s="46" t="s">
        <v>419</v>
      </c>
      <c r="D178" s="46" t="s">
        <v>418</v>
      </c>
      <c r="E178" s="46" t="s">
        <v>21</v>
      </c>
      <c r="F178" s="143">
        <f>SUM(F179)</f>
        <v>145.851</v>
      </c>
      <c r="G178" s="11"/>
      <c r="H178" s="47">
        <f>F178*G178</f>
        <v>0</v>
      </c>
      <c r="I178" s="48" t="s">
        <v>259</v>
      </c>
      <c r="R178" s="97"/>
    </row>
    <row r="179" spans="1:19" s="60" customFormat="1" ht="27" customHeight="1">
      <c r="A179" s="45"/>
      <c r="B179" s="51"/>
      <c r="C179" s="46"/>
      <c r="D179" s="83" t="s">
        <v>395</v>
      </c>
      <c r="E179" s="46"/>
      <c r="F179" s="52">
        <f>10.764+1.604+10.944+13.509+13.509+13.509+20.503+20.503+20.503+20.503</f>
        <v>145.851</v>
      </c>
      <c r="G179" s="47"/>
      <c r="H179" s="47"/>
      <c r="I179" s="48"/>
      <c r="R179" s="97"/>
    </row>
    <row r="180" spans="1:19" s="61" customFormat="1" ht="13.5" customHeight="1">
      <c r="A180" s="45">
        <v>53</v>
      </c>
      <c r="B180" s="51" t="s">
        <v>98</v>
      </c>
      <c r="C180" s="46">
        <v>274361821</v>
      </c>
      <c r="D180" s="46" t="s">
        <v>257</v>
      </c>
      <c r="E180" s="46" t="s">
        <v>35</v>
      </c>
      <c r="F180" s="50">
        <f>SUM(F181:F182)</f>
        <v>21.259428571428572</v>
      </c>
      <c r="G180" s="11"/>
      <c r="H180" s="47">
        <f>F180*G180</f>
        <v>0</v>
      </c>
      <c r="I180" s="48" t="s">
        <v>183</v>
      </c>
      <c r="J180" s="60"/>
      <c r="K180" s="60"/>
      <c r="L180" s="60"/>
      <c r="M180" s="60"/>
      <c r="N180" s="60"/>
      <c r="O180" s="60"/>
      <c r="P180" s="60"/>
      <c r="Q180" s="60"/>
      <c r="R180" s="60"/>
      <c r="S180" s="60"/>
    </row>
    <row r="181" spans="1:19" s="139" customFormat="1" ht="27" customHeight="1">
      <c r="A181" s="140"/>
      <c r="B181" s="42"/>
      <c r="C181" s="42"/>
      <c r="D181" s="83" t="s">
        <v>420</v>
      </c>
      <c r="E181" s="42"/>
      <c r="F181" s="52">
        <f>((30.75+10.74+30.55+28.2)/1.05)*0.22</f>
        <v>21.002666666666666</v>
      </c>
      <c r="G181" s="141"/>
      <c r="H181" s="141"/>
      <c r="I181" s="142"/>
      <c r="J181" s="138"/>
      <c r="K181" s="138"/>
      <c r="L181" s="138"/>
      <c r="M181" s="138"/>
      <c r="N181" s="138"/>
      <c r="O181" s="60"/>
      <c r="P181" s="138"/>
      <c r="Q181" s="138"/>
      <c r="R181" s="138"/>
      <c r="S181" s="138"/>
    </row>
    <row r="182" spans="1:19" s="139" customFormat="1" ht="27" customHeight="1">
      <c r="A182" s="140"/>
      <c r="B182" s="42"/>
      <c r="C182" s="42"/>
      <c r="D182" s="83" t="s">
        <v>421</v>
      </c>
      <c r="E182" s="42"/>
      <c r="F182" s="52">
        <f>((3.37)/1.05)*0.08</f>
        <v>0.2567619047619048</v>
      </c>
      <c r="G182" s="141"/>
      <c r="H182" s="141"/>
      <c r="I182" s="142"/>
      <c r="J182" s="138"/>
      <c r="K182" s="138"/>
      <c r="L182" s="138"/>
      <c r="M182" s="138"/>
      <c r="N182" s="138"/>
      <c r="O182" s="60"/>
      <c r="P182" s="138"/>
      <c r="Q182" s="138"/>
      <c r="R182" s="138"/>
      <c r="S182" s="138"/>
    </row>
    <row r="183" spans="1:19" s="60" customFormat="1" ht="13.5" customHeight="1">
      <c r="A183" s="45">
        <v>54</v>
      </c>
      <c r="B183" s="51" t="s">
        <v>98</v>
      </c>
      <c r="C183" s="46">
        <v>275322511</v>
      </c>
      <c r="D183" s="46" t="s">
        <v>371</v>
      </c>
      <c r="E183" s="46" t="s">
        <v>27</v>
      </c>
      <c r="F183" s="143">
        <f>SUM(F184:F185)</f>
        <v>32.591999999999999</v>
      </c>
      <c r="G183" s="11"/>
      <c r="H183" s="47">
        <f>F183*G183</f>
        <v>0</v>
      </c>
      <c r="I183" s="48" t="s">
        <v>183</v>
      </c>
      <c r="J183" s="149"/>
    </row>
    <row r="184" spans="1:19" s="61" customFormat="1" ht="13.5" customHeight="1">
      <c r="A184" s="45"/>
      <c r="B184" s="46"/>
      <c r="C184" s="46"/>
      <c r="D184" s="42" t="s">
        <v>319</v>
      </c>
      <c r="E184" s="46"/>
      <c r="F184" s="52">
        <f>((1*1*0.8)*10)*1.05</f>
        <v>8.4</v>
      </c>
      <c r="G184" s="47"/>
      <c r="H184" s="47"/>
      <c r="I184" s="48"/>
      <c r="J184" s="60"/>
      <c r="K184" s="60"/>
      <c r="L184" s="60"/>
      <c r="M184" s="60"/>
      <c r="N184" s="60"/>
      <c r="O184" s="60"/>
      <c r="P184" s="60"/>
      <c r="Q184" s="60"/>
      <c r="R184" s="60"/>
      <c r="S184" s="60"/>
    </row>
    <row r="185" spans="1:19" s="61" customFormat="1" ht="13.5" customHeight="1">
      <c r="A185" s="45"/>
      <c r="B185" s="46"/>
      <c r="C185" s="46"/>
      <c r="D185" s="42" t="s">
        <v>320</v>
      </c>
      <c r="E185" s="46"/>
      <c r="F185" s="52">
        <f>((1.2*1.2*0.8)*20)*1.05</f>
        <v>24.192</v>
      </c>
      <c r="G185" s="47"/>
      <c r="H185" s="47"/>
      <c r="I185" s="48"/>
      <c r="J185" s="60"/>
      <c r="K185" s="60"/>
      <c r="L185" s="60"/>
      <c r="M185" s="60"/>
      <c r="N185" s="60"/>
      <c r="O185" s="60"/>
      <c r="P185" s="60"/>
      <c r="Q185" s="60"/>
      <c r="R185" s="60"/>
      <c r="S185" s="60"/>
    </row>
    <row r="186" spans="1:19" s="61" customFormat="1" ht="27" customHeight="1">
      <c r="A186" s="144"/>
      <c r="B186" s="145"/>
      <c r="C186" s="145"/>
      <c r="D186" s="42" t="s">
        <v>198</v>
      </c>
      <c r="E186" s="145"/>
      <c r="F186" s="146"/>
      <c r="G186" s="147"/>
      <c r="H186" s="47"/>
      <c r="I186" s="48"/>
      <c r="J186" s="60"/>
      <c r="K186" s="150"/>
      <c r="L186" s="60"/>
      <c r="M186" s="60"/>
      <c r="N186" s="60"/>
      <c r="O186" s="60"/>
      <c r="P186" s="60"/>
      <c r="Q186" s="60"/>
      <c r="R186" s="60"/>
      <c r="S186" s="60"/>
    </row>
    <row r="187" spans="1:19" s="61" customFormat="1" ht="13.5" customHeight="1">
      <c r="A187" s="45">
        <v>55</v>
      </c>
      <c r="B187" s="51" t="s">
        <v>98</v>
      </c>
      <c r="C187" s="46">
        <v>275351121</v>
      </c>
      <c r="D187" s="46" t="s">
        <v>208</v>
      </c>
      <c r="E187" s="46" t="s">
        <v>21</v>
      </c>
      <c r="F187" s="143">
        <f>SUM(F188:F189)</f>
        <v>108.8</v>
      </c>
      <c r="G187" s="11"/>
      <c r="H187" s="47">
        <f>F187*G187</f>
        <v>0</v>
      </c>
      <c r="I187" s="48" t="s">
        <v>183</v>
      </c>
      <c r="J187" s="151"/>
      <c r="K187" s="148"/>
      <c r="L187" s="60"/>
      <c r="M187" s="60"/>
      <c r="N187" s="60"/>
      <c r="O187" s="60"/>
      <c r="P187" s="60"/>
      <c r="Q187" s="60"/>
      <c r="R187" s="60"/>
      <c r="S187" s="60"/>
    </row>
    <row r="188" spans="1:19" s="139" customFormat="1" ht="13.5" customHeight="1">
      <c r="A188" s="140"/>
      <c r="B188" s="42"/>
      <c r="C188" s="42"/>
      <c r="D188" s="42" t="s">
        <v>321</v>
      </c>
      <c r="E188" s="42"/>
      <c r="F188" s="52">
        <f>(1*4*0.8)*10</f>
        <v>32</v>
      </c>
      <c r="G188" s="141"/>
      <c r="H188" s="141"/>
      <c r="I188" s="142"/>
      <c r="J188" s="138"/>
      <c r="K188" s="148"/>
      <c r="L188" s="138"/>
      <c r="M188" s="138"/>
      <c r="N188" s="138"/>
      <c r="O188" s="60"/>
      <c r="P188" s="138"/>
      <c r="Q188" s="138"/>
      <c r="R188" s="138"/>
      <c r="S188" s="138"/>
    </row>
    <row r="189" spans="1:19" s="139" customFormat="1" ht="13.5" customHeight="1">
      <c r="A189" s="140"/>
      <c r="B189" s="42"/>
      <c r="C189" s="42"/>
      <c r="D189" s="42" t="s">
        <v>322</v>
      </c>
      <c r="E189" s="42"/>
      <c r="F189" s="52">
        <f>(1.2*4*0.8)*20</f>
        <v>76.8</v>
      </c>
      <c r="G189" s="141"/>
      <c r="H189" s="141"/>
      <c r="I189" s="142"/>
      <c r="J189" s="138"/>
      <c r="K189" s="138"/>
      <c r="L189" s="138"/>
      <c r="M189" s="138"/>
      <c r="N189" s="138"/>
      <c r="O189" s="138"/>
      <c r="P189" s="138"/>
      <c r="Q189" s="138"/>
      <c r="R189" s="138"/>
      <c r="S189" s="138"/>
    </row>
    <row r="190" spans="1:19" s="61" customFormat="1" ht="13.5" customHeight="1">
      <c r="A190" s="45">
        <v>56</v>
      </c>
      <c r="B190" s="51" t="s">
        <v>98</v>
      </c>
      <c r="C190" s="46">
        <v>275351122</v>
      </c>
      <c r="D190" s="46" t="s">
        <v>209</v>
      </c>
      <c r="E190" s="46" t="s">
        <v>21</v>
      </c>
      <c r="F190" s="143">
        <f>F187</f>
        <v>108.8</v>
      </c>
      <c r="G190" s="11"/>
      <c r="H190" s="47">
        <f>F190*G190</f>
        <v>0</v>
      </c>
      <c r="I190" s="48" t="s">
        <v>183</v>
      </c>
      <c r="J190" s="60"/>
      <c r="K190" s="60"/>
      <c r="L190" s="60"/>
      <c r="M190" s="60"/>
      <c r="N190" s="60"/>
      <c r="O190" s="60"/>
      <c r="P190" s="60"/>
      <c r="Q190" s="60"/>
      <c r="R190" s="60"/>
      <c r="S190" s="60"/>
    </row>
    <row r="191" spans="1:19" s="61" customFormat="1" ht="13.5" customHeight="1">
      <c r="A191" s="45">
        <v>57</v>
      </c>
      <c r="B191" s="51" t="s">
        <v>98</v>
      </c>
      <c r="C191" s="46">
        <v>275361821</v>
      </c>
      <c r="D191" s="46" t="s">
        <v>210</v>
      </c>
      <c r="E191" s="46" t="s">
        <v>35</v>
      </c>
      <c r="F191" s="143">
        <f>F192</f>
        <v>2.4830476190476194</v>
      </c>
      <c r="G191" s="11"/>
      <c r="H191" s="47">
        <f>F191*G191</f>
        <v>0</v>
      </c>
      <c r="I191" s="48" t="s">
        <v>183</v>
      </c>
      <c r="J191" s="60"/>
      <c r="K191" s="60"/>
      <c r="L191" s="60"/>
      <c r="M191" s="60"/>
      <c r="N191" s="60"/>
      <c r="O191" s="60"/>
      <c r="P191" s="60"/>
      <c r="Q191" s="60"/>
      <c r="R191" s="60"/>
      <c r="S191" s="60"/>
    </row>
    <row r="192" spans="1:19" s="139" customFormat="1" ht="25.5" customHeight="1">
      <c r="A192" s="140"/>
      <c r="B192" s="42"/>
      <c r="C192" s="42"/>
      <c r="D192" s="83" t="s">
        <v>422</v>
      </c>
      <c r="E192" s="42"/>
      <c r="F192" s="52">
        <f>(32.59/1.05)*0.08</f>
        <v>2.4830476190476194</v>
      </c>
      <c r="G192" s="141"/>
      <c r="H192" s="141"/>
      <c r="I192" s="142"/>
      <c r="J192" s="151"/>
      <c r="K192" s="138"/>
      <c r="L192" s="138"/>
      <c r="M192" s="138"/>
      <c r="N192" s="138"/>
      <c r="O192" s="138"/>
      <c r="P192" s="138"/>
      <c r="Q192" s="138"/>
      <c r="R192" s="138"/>
      <c r="S192" s="138"/>
    </row>
    <row r="193" spans="1:19" s="61" customFormat="1" ht="13.5" customHeight="1">
      <c r="A193" s="111"/>
      <c r="B193" s="112"/>
      <c r="C193" s="112">
        <v>3</v>
      </c>
      <c r="D193" s="112" t="s">
        <v>59</v>
      </c>
      <c r="E193" s="112"/>
      <c r="F193" s="113"/>
      <c r="G193" s="114"/>
      <c r="H193" s="114">
        <f>SUM(H194:H227)</f>
        <v>0</v>
      </c>
      <c r="I193" s="53"/>
      <c r="J193" s="81"/>
      <c r="K193" s="60"/>
      <c r="L193" s="60"/>
      <c r="M193" s="60"/>
      <c r="N193" s="60"/>
      <c r="O193" s="60"/>
      <c r="P193" s="60"/>
      <c r="Q193" s="60"/>
      <c r="R193" s="60"/>
      <c r="S193" s="60"/>
    </row>
    <row r="194" spans="1:19" s="61" customFormat="1" ht="13.5" customHeight="1">
      <c r="A194" s="45">
        <v>58</v>
      </c>
      <c r="B194" s="51" t="s">
        <v>98</v>
      </c>
      <c r="C194" s="46">
        <v>311234031</v>
      </c>
      <c r="D194" s="46" t="s">
        <v>664</v>
      </c>
      <c r="E194" s="46" t="s">
        <v>21</v>
      </c>
      <c r="F194" s="50">
        <f>SUM(F195:F196)</f>
        <v>122.54399999999998</v>
      </c>
      <c r="G194" s="11"/>
      <c r="H194" s="47">
        <f>F194*G194</f>
        <v>0</v>
      </c>
      <c r="I194" s="48" t="s">
        <v>183</v>
      </c>
      <c r="J194" s="60"/>
      <c r="K194" s="60"/>
      <c r="L194" s="60"/>
      <c r="M194" s="60"/>
      <c r="N194" s="60"/>
      <c r="O194" s="60"/>
      <c r="P194" s="60"/>
      <c r="Q194" s="60"/>
      <c r="R194" s="60"/>
      <c r="S194" s="60"/>
    </row>
    <row r="195" spans="1:19" s="153" customFormat="1" ht="13.5" customHeight="1">
      <c r="A195" s="85"/>
      <c r="B195" s="51"/>
      <c r="C195" s="46"/>
      <c r="D195" s="42" t="s">
        <v>496</v>
      </c>
      <c r="E195" s="46"/>
      <c r="F195" s="52">
        <f>(4.6*3.46)*4</f>
        <v>63.663999999999994</v>
      </c>
      <c r="G195" s="47"/>
      <c r="H195" s="47"/>
      <c r="I195" s="152"/>
      <c r="J195" s="84"/>
      <c r="K195" s="84"/>
      <c r="L195" s="84"/>
      <c r="M195" s="84"/>
      <c r="N195" s="84"/>
      <c r="O195" s="84"/>
      <c r="P195" s="84"/>
      <c r="Q195" s="84"/>
      <c r="R195" s="84"/>
      <c r="S195" s="84"/>
    </row>
    <row r="196" spans="1:19" s="153" customFormat="1" ht="13.5" customHeight="1">
      <c r="A196" s="85"/>
      <c r="B196" s="51"/>
      <c r="C196" s="46"/>
      <c r="D196" s="42" t="s">
        <v>521</v>
      </c>
      <c r="E196" s="46"/>
      <c r="F196" s="52">
        <f>(4.6*3.2)*4</f>
        <v>58.879999999999995</v>
      </c>
      <c r="G196" s="47"/>
      <c r="H196" s="47"/>
      <c r="I196" s="152"/>
      <c r="J196" s="154"/>
      <c r="K196" s="84"/>
      <c r="L196" s="84"/>
      <c r="M196" s="84"/>
      <c r="N196" s="84"/>
      <c r="O196" s="84"/>
      <c r="P196" s="84"/>
      <c r="Q196" s="84"/>
      <c r="R196" s="84"/>
      <c r="S196" s="84"/>
    </row>
    <row r="197" spans="1:19" s="60" customFormat="1" ht="27" customHeight="1">
      <c r="A197" s="45">
        <v>59</v>
      </c>
      <c r="B197" s="51" t="s">
        <v>98</v>
      </c>
      <c r="C197" s="46" t="s">
        <v>398</v>
      </c>
      <c r="D197" s="46" t="s">
        <v>399</v>
      </c>
      <c r="E197" s="46" t="s">
        <v>27</v>
      </c>
      <c r="F197" s="143">
        <f>SUM(F198:F200)</f>
        <v>58.925474999999992</v>
      </c>
      <c r="G197" s="11"/>
      <c r="H197" s="47">
        <f>F197*G197</f>
        <v>0</v>
      </c>
      <c r="I197" s="48" t="s">
        <v>259</v>
      </c>
      <c r="J197" s="154"/>
    </row>
    <row r="198" spans="1:19" s="153" customFormat="1" ht="13.5" customHeight="1">
      <c r="A198" s="85"/>
      <c r="B198" s="51"/>
      <c r="C198" s="46"/>
      <c r="D198" s="42" t="s">
        <v>538</v>
      </c>
      <c r="E198" s="46"/>
      <c r="F198" s="52">
        <f>((4.6*0.25*3.56)*4)*1.05</f>
        <v>17.194799999999997</v>
      </c>
      <c r="G198" s="47"/>
      <c r="H198" s="47"/>
      <c r="I198" s="152"/>
      <c r="J198" s="81"/>
      <c r="K198" s="84"/>
      <c r="L198" s="84"/>
      <c r="M198" s="84"/>
      <c r="N198" s="84"/>
      <c r="O198" s="84"/>
      <c r="P198" s="84"/>
      <c r="Q198" s="84"/>
      <c r="R198" s="84"/>
      <c r="S198" s="84"/>
    </row>
    <row r="199" spans="1:19" s="153" customFormat="1" ht="13.5" customHeight="1">
      <c r="A199" s="85"/>
      <c r="B199" s="51"/>
      <c r="C199" s="46"/>
      <c r="D199" s="42" t="s">
        <v>539</v>
      </c>
      <c r="E199" s="46"/>
      <c r="F199" s="52">
        <f>((4.6*0.25*3.3)*4)*1.05</f>
        <v>15.938999999999998</v>
      </c>
      <c r="G199" s="47"/>
      <c r="H199" s="47"/>
      <c r="I199" s="152"/>
      <c r="J199" s="81"/>
      <c r="K199" s="84"/>
      <c r="L199" s="84"/>
      <c r="M199" s="84"/>
      <c r="N199" s="84"/>
      <c r="O199" s="84"/>
      <c r="P199" s="84"/>
      <c r="Q199" s="84"/>
      <c r="R199" s="84"/>
      <c r="S199" s="84"/>
    </row>
    <row r="200" spans="1:19" s="153" customFormat="1" ht="13.5" customHeight="1">
      <c r="A200" s="85"/>
      <c r="B200" s="51"/>
      <c r="C200" s="46"/>
      <c r="D200" s="42" t="s">
        <v>351</v>
      </c>
      <c r="E200" s="46"/>
      <c r="F200" s="52">
        <f>(0.65*0.4*45.4+0.65*0.4*10.35*2+0.65*0.25*45.4)*1.05</f>
        <v>25.791675000000001</v>
      </c>
      <c r="G200" s="47"/>
      <c r="H200" s="47"/>
      <c r="I200" s="152"/>
      <c r="J200" s="81"/>
      <c r="K200" s="84"/>
      <c r="L200" s="84"/>
      <c r="M200" s="84"/>
      <c r="N200" s="84"/>
      <c r="O200" s="84"/>
      <c r="P200" s="84"/>
      <c r="Q200" s="84"/>
      <c r="R200" s="84"/>
      <c r="S200" s="84"/>
    </row>
    <row r="201" spans="1:19" s="61" customFormat="1" ht="27" customHeight="1">
      <c r="A201" s="144"/>
      <c r="B201" s="145"/>
      <c r="C201" s="145"/>
      <c r="D201" s="42" t="s">
        <v>198</v>
      </c>
      <c r="E201" s="145"/>
      <c r="F201" s="146"/>
      <c r="G201" s="147"/>
      <c r="H201" s="47"/>
      <c r="I201" s="48"/>
      <c r="J201" s="81"/>
      <c r="K201" s="60"/>
      <c r="L201" s="60"/>
      <c r="M201" s="60"/>
      <c r="N201" s="60"/>
      <c r="O201" s="60"/>
      <c r="P201" s="60"/>
      <c r="Q201" s="60"/>
      <c r="R201" s="60"/>
      <c r="S201" s="60"/>
    </row>
    <row r="202" spans="1:19" s="61" customFormat="1" ht="13.5" customHeight="1">
      <c r="A202" s="45">
        <v>60</v>
      </c>
      <c r="B202" s="51" t="s">
        <v>98</v>
      </c>
      <c r="C202" s="46">
        <v>311351121</v>
      </c>
      <c r="D202" s="46" t="s">
        <v>211</v>
      </c>
      <c r="E202" s="46" t="s">
        <v>21</v>
      </c>
      <c r="F202" s="50">
        <f>SUM(F203:F205)</f>
        <v>454.298</v>
      </c>
      <c r="G202" s="11"/>
      <c r="H202" s="47">
        <f>F202*G202</f>
        <v>0</v>
      </c>
      <c r="I202" s="48" t="s">
        <v>183</v>
      </c>
      <c r="J202" s="60"/>
      <c r="K202" s="60"/>
      <c r="L202" s="60"/>
      <c r="M202" s="60"/>
      <c r="N202" s="60"/>
      <c r="O202" s="60"/>
      <c r="P202" s="60"/>
      <c r="Q202" s="60"/>
      <c r="R202" s="60"/>
      <c r="S202" s="60"/>
    </row>
    <row r="203" spans="1:19" s="153" customFormat="1" ht="13.5" customHeight="1">
      <c r="A203" s="85"/>
      <c r="B203" s="51"/>
      <c r="C203" s="46"/>
      <c r="D203" s="42" t="s">
        <v>497</v>
      </c>
      <c r="E203" s="46"/>
      <c r="F203" s="52">
        <f>((4.6*3.56)*2)*4</f>
        <v>131.00799999999998</v>
      </c>
      <c r="G203" s="47"/>
      <c r="H203" s="47"/>
      <c r="I203" s="152"/>
      <c r="J203" s="84"/>
      <c r="K203" s="84"/>
      <c r="L203" s="84"/>
      <c r="M203" s="84"/>
      <c r="N203" s="84"/>
      <c r="O203" s="84"/>
      <c r="P203" s="84"/>
      <c r="Q203" s="84"/>
      <c r="R203" s="84"/>
      <c r="S203" s="84"/>
    </row>
    <row r="204" spans="1:19" s="153" customFormat="1" ht="13.5" customHeight="1">
      <c r="A204" s="85"/>
      <c r="B204" s="51"/>
      <c r="C204" s="46"/>
      <c r="D204" s="42" t="s">
        <v>522</v>
      </c>
      <c r="E204" s="46"/>
      <c r="F204" s="52">
        <f>((4.6*3.3)*2)*4</f>
        <v>121.43999999999998</v>
      </c>
      <c r="G204" s="47"/>
      <c r="H204" s="47"/>
      <c r="I204" s="152"/>
      <c r="J204" s="84"/>
      <c r="K204" s="84"/>
      <c r="L204" s="84"/>
      <c r="M204" s="84"/>
      <c r="N204" s="84"/>
      <c r="O204" s="84"/>
      <c r="P204" s="84"/>
      <c r="Q204" s="84"/>
      <c r="R204" s="84"/>
      <c r="S204" s="84"/>
    </row>
    <row r="205" spans="1:19" s="153" customFormat="1" ht="13.5" customHeight="1">
      <c r="A205" s="85"/>
      <c r="B205" s="51"/>
      <c r="C205" s="46"/>
      <c r="D205" s="42" t="s">
        <v>350</v>
      </c>
      <c r="E205" s="46"/>
      <c r="F205" s="52">
        <f>0.5*(44.6*2+10.35*2)+0.65*45.4*2*2+0.65*11.1*2*2</f>
        <v>201.85000000000002</v>
      </c>
      <c r="G205" s="47"/>
      <c r="H205" s="47"/>
      <c r="I205" s="152"/>
      <c r="J205" s="155"/>
      <c r="K205" s="84"/>
      <c r="L205" s="84"/>
      <c r="M205" s="84"/>
      <c r="N205" s="84"/>
      <c r="O205" s="84"/>
      <c r="P205" s="84"/>
      <c r="Q205" s="84"/>
      <c r="R205" s="84"/>
      <c r="S205" s="84"/>
    </row>
    <row r="206" spans="1:19" s="61" customFormat="1" ht="13.5" customHeight="1">
      <c r="A206" s="45">
        <v>61</v>
      </c>
      <c r="B206" s="51" t="s">
        <v>98</v>
      </c>
      <c r="C206" s="46">
        <v>311351122</v>
      </c>
      <c r="D206" s="46" t="s">
        <v>212</v>
      </c>
      <c r="E206" s="46" t="s">
        <v>21</v>
      </c>
      <c r="F206" s="50">
        <f>F202</f>
        <v>454.298</v>
      </c>
      <c r="G206" s="11"/>
      <c r="H206" s="47">
        <f>F206*G206</f>
        <v>0</v>
      </c>
      <c r="I206" s="48" t="s">
        <v>183</v>
      </c>
      <c r="J206" s="60"/>
      <c r="K206" s="60"/>
      <c r="L206" s="60"/>
      <c r="M206" s="60"/>
      <c r="N206" s="60"/>
      <c r="O206" s="60"/>
      <c r="P206" s="60"/>
      <c r="Q206" s="60"/>
      <c r="R206" s="60"/>
      <c r="S206" s="60"/>
    </row>
    <row r="207" spans="1:19" s="61" customFormat="1" ht="13.5" customHeight="1">
      <c r="A207" s="45">
        <v>62</v>
      </c>
      <c r="B207" s="51" t="s">
        <v>98</v>
      </c>
      <c r="C207" s="46">
        <v>311351911</v>
      </c>
      <c r="D207" s="46" t="s">
        <v>400</v>
      </c>
      <c r="E207" s="46" t="s">
        <v>21</v>
      </c>
      <c r="F207" s="50">
        <f>F202</f>
        <v>454.298</v>
      </c>
      <c r="G207" s="11"/>
      <c r="H207" s="47">
        <f>F207*G207</f>
        <v>0</v>
      </c>
      <c r="I207" s="48" t="s">
        <v>183</v>
      </c>
      <c r="J207" s="60"/>
      <c r="K207" s="60"/>
      <c r="L207" s="60"/>
      <c r="M207" s="60"/>
      <c r="N207" s="60"/>
      <c r="O207" s="60"/>
      <c r="P207" s="60"/>
      <c r="Q207" s="60"/>
      <c r="R207" s="60"/>
      <c r="S207" s="60"/>
    </row>
    <row r="208" spans="1:19" s="61" customFormat="1" ht="13.5" customHeight="1">
      <c r="A208" s="45">
        <v>63</v>
      </c>
      <c r="B208" s="51" t="s">
        <v>98</v>
      </c>
      <c r="C208" s="46">
        <v>311361821</v>
      </c>
      <c r="D208" s="46" t="s">
        <v>203</v>
      </c>
      <c r="E208" s="46" t="s">
        <v>35</v>
      </c>
      <c r="F208" s="50">
        <f>SUM(F209:F210)</f>
        <v>12.06552380952381</v>
      </c>
      <c r="G208" s="11"/>
      <c r="H208" s="47">
        <f>F208*G208</f>
        <v>0</v>
      </c>
      <c r="I208" s="48" t="s">
        <v>183</v>
      </c>
      <c r="J208" s="60"/>
      <c r="K208" s="60"/>
      <c r="L208" s="60"/>
      <c r="M208" s="60"/>
      <c r="N208" s="60"/>
      <c r="O208" s="60"/>
      <c r="P208" s="60"/>
      <c r="Q208" s="60"/>
      <c r="R208" s="60"/>
      <c r="S208" s="60"/>
    </row>
    <row r="209" spans="1:19" s="139" customFormat="1" ht="13.5" customHeight="1">
      <c r="A209" s="140"/>
      <c r="B209" s="42"/>
      <c r="C209" s="42"/>
      <c r="D209" s="83" t="s">
        <v>423</v>
      </c>
      <c r="E209" s="42"/>
      <c r="F209" s="52">
        <f>((17.19+15.94)/1.05)*0.18</f>
        <v>5.6794285714285717</v>
      </c>
      <c r="G209" s="141"/>
      <c r="H209" s="141"/>
      <c r="I209" s="142"/>
      <c r="J209" s="156"/>
      <c r="K209" s="138"/>
      <c r="L209" s="138"/>
      <c r="M209" s="138"/>
      <c r="N209" s="138"/>
      <c r="O209" s="138"/>
      <c r="P209" s="138"/>
      <c r="Q209" s="138"/>
      <c r="R209" s="138"/>
      <c r="S209" s="138"/>
    </row>
    <row r="210" spans="1:19" s="139" customFormat="1" ht="13.5" customHeight="1">
      <c r="A210" s="140"/>
      <c r="B210" s="42"/>
      <c r="C210" s="42"/>
      <c r="D210" s="83" t="s">
        <v>424</v>
      </c>
      <c r="E210" s="42"/>
      <c r="F210" s="52">
        <f>((25.79)/1.05)*0.26</f>
        <v>6.3860952380952378</v>
      </c>
      <c r="G210" s="141"/>
      <c r="H210" s="141"/>
      <c r="I210" s="142"/>
      <c r="J210" s="156"/>
      <c r="K210" s="138"/>
      <c r="L210" s="138"/>
      <c r="M210" s="138"/>
      <c r="N210" s="138"/>
      <c r="O210" s="138"/>
      <c r="P210" s="138"/>
      <c r="Q210" s="138"/>
      <c r="R210" s="138"/>
      <c r="S210" s="138"/>
    </row>
    <row r="211" spans="1:19" s="60" customFormat="1" ht="27" customHeight="1">
      <c r="A211" s="45">
        <v>64</v>
      </c>
      <c r="B211" s="51" t="s">
        <v>98</v>
      </c>
      <c r="C211" s="46" t="s">
        <v>402</v>
      </c>
      <c r="D211" s="46" t="s">
        <v>401</v>
      </c>
      <c r="E211" s="46" t="s">
        <v>27</v>
      </c>
      <c r="F211" s="50">
        <f>SUM(F212:F214)</f>
        <v>39.648000000000003</v>
      </c>
      <c r="G211" s="11"/>
      <c r="H211" s="47">
        <f>F211*G211</f>
        <v>0</v>
      </c>
      <c r="I211" s="48" t="s">
        <v>259</v>
      </c>
    </row>
    <row r="212" spans="1:19" s="153" customFormat="1" ht="13.5" customHeight="1">
      <c r="A212" s="85"/>
      <c r="B212" s="51"/>
      <c r="C212" s="46"/>
      <c r="D212" s="42" t="s">
        <v>498</v>
      </c>
      <c r="E212" s="46"/>
      <c r="F212" s="52">
        <f>((0.5*0.4*3.86)*20)*1.05</f>
        <v>16.212000000000003</v>
      </c>
      <c r="G212" s="47"/>
      <c r="H212" s="47"/>
      <c r="I212" s="152"/>
      <c r="J212" s="84"/>
      <c r="K212" s="84"/>
      <c r="L212" s="84"/>
      <c r="M212" s="84"/>
      <c r="N212" s="84"/>
      <c r="O212" s="84"/>
      <c r="P212" s="84"/>
      <c r="Q212" s="84"/>
      <c r="R212" s="84"/>
      <c r="S212" s="84"/>
    </row>
    <row r="213" spans="1:19" s="153" customFormat="1" ht="13.5" customHeight="1">
      <c r="A213" s="85"/>
      <c r="B213" s="51"/>
      <c r="C213" s="46"/>
      <c r="D213" s="83" t="s">
        <v>499</v>
      </c>
      <c r="E213" s="83"/>
      <c r="F213" s="157">
        <f>((0.912)*10)*1.05</f>
        <v>9.5760000000000023</v>
      </c>
      <c r="G213" s="47"/>
      <c r="H213" s="47"/>
      <c r="I213" s="152"/>
      <c r="J213" s="155"/>
      <c r="K213" s="84"/>
      <c r="L213" s="84"/>
      <c r="M213" s="84"/>
      <c r="N213" s="84"/>
      <c r="O213" s="84"/>
      <c r="P213" s="84"/>
      <c r="Q213" s="84"/>
      <c r="R213" s="84"/>
      <c r="S213" s="84"/>
    </row>
    <row r="214" spans="1:19" s="153" customFormat="1" ht="13.5" customHeight="1">
      <c r="A214" s="85"/>
      <c r="B214" s="51"/>
      <c r="C214" s="46"/>
      <c r="D214" s="42" t="s">
        <v>523</v>
      </c>
      <c r="E214" s="46"/>
      <c r="F214" s="52">
        <f>((0.5*0.4*3.3)*20)*1.05</f>
        <v>13.860000000000001</v>
      </c>
      <c r="G214" s="47"/>
      <c r="H214" s="47"/>
      <c r="I214" s="152"/>
      <c r="J214" s="155"/>
      <c r="K214" s="84"/>
      <c r="L214" s="84"/>
      <c r="M214" s="84"/>
      <c r="N214" s="84"/>
      <c r="O214" s="84"/>
      <c r="P214" s="84"/>
      <c r="Q214" s="84"/>
      <c r="R214" s="84"/>
      <c r="S214" s="84"/>
    </row>
    <row r="215" spans="1:19" s="61" customFormat="1" ht="27" customHeight="1">
      <c r="A215" s="144"/>
      <c r="B215" s="145"/>
      <c r="C215" s="145"/>
      <c r="D215" s="42" t="s">
        <v>198</v>
      </c>
      <c r="E215" s="145"/>
      <c r="F215" s="146"/>
      <c r="G215" s="147"/>
      <c r="H215" s="47"/>
      <c r="I215" s="48"/>
      <c r="J215" s="60"/>
      <c r="K215" s="60"/>
      <c r="L215" s="60"/>
      <c r="M215" s="60"/>
      <c r="N215" s="60"/>
      <c r="O215" s="60"/>
      <c r="P215" s="60"/>
      <c r="Q215" s="60"/>
      <c r="R215" s="60"/>
      <c r="S215" s="60"/>
    </row>
    <row r="216" spans="1:19" s="61" customFormat="1" ht="13.5" customHeight="1">
      <c r="A216" s="45">
        <v>65</v>
      </c>
      <c r="B216" s="51" t="s">
        <v>98</v>
      </c>
      <c r="C216" s="46">
        <v>331351125</v>
      </c>
      <c r="D216" s="46" t="s">
        <v>213</v>
      </c>
      <c r="E216" s="46" t="s">
        <v>21</v>
      </c>
      <c r="F216" s="50">
        <f>SUM(F218:F219)</f>
        <v>257.76</v>
      </c>
      <c r="G216" s="11"/>
      <c r="H216" s="47">
        <f>F216*G216</f>
        <v>0</v>
      </c>
      <c r="I216" s="48" t="s">
        <v>183</v>
      </c>
      <c r="J216" s="60"/>
      <c r="K216" s="60"/>
      <c r="L216" s="60"/>
      <c r="M216" s="60"/>
      <c r="N216" s="60"/>
      <c r="O216" s="60"/>
      <c r="P216" s="60"/>
      <c r="Q216" s="60"/>
      <c r="R216" s="60"/>
      <c r="S216" s="60"/>
    </row>
    <row r="217" spans="1:19" s="61" customFormat="1" ht="13.5" customHeight="1">
      <c r="A217" s="45"/>
      <c r="B217" s="51"/>
      <c r="C217" s="46"/>
      <c r="D217" s="42" t="s">
        <v>214</v>
      </c>
      <c r="E217" s="46"/>
      <c r="F217" s="50"/>
      <c r="G217" s="89"/>
      <c r="H217" s="47"/>
      <c r="I217" s="158"/>
      <c r="J217" s="60"/>
      <c r="K217" s="60"/>
      <c r="L217" s="60"/>
      <c r="M217" s="60"/>
      <c r="N217" s="60"/>
      <c r="O217" s="60"/>
      <c r="P217" s="60"/>
      <c r="Q217" s="60"/>
      <c r="R217" s="60"/>
      <c r="S217" s="60"/>
    </row>
    <row r="218" spans="1:19" s="153" customFormat="1" ht="13.5" customHeight="1">
      <c r="A218" s="85"/>
      <c r="B218" s="51"/>
      <c r="C218" s="46"/>
      <c r="D218" s="42" t="s">
        <v>500</v>
      </c>
      <c r="E218" s="46"/>
      <c r="F218" s="52">
        <f>((0.4*2+0.5*2)*3.86)*20</f>
        <v>138.95999999999998</v>
      </c>
      <c r="G218" s="47"/>
      <c r="H218" s="47"/>
      <c r="I218" s="152"/>
      <c r="J218" s="84"/>
      <c r="K218" s="84"/>
      <c r="L218" s="84"/>
      <c r="M218" s="84"/>
      <c r="N218" s="84"/>
      <c r="O218" s="84"/>
      <c r="P218" s="84"/>
      <c r="Q218" s="84"/>
      <c r="R218" s="84"/>
      <c r="S218" s="84"/>
    </row>
    <row r="219" spans="1:19" s="153" customFormat="1" ht="13.5" customHeight="1">
      <c r="A219" s="85"/>
      <c r="B219" s="51"/>
      <c r="C219" s="46"/>
      <c r="D219" s="42" t="s">
        <v>524</v>
      </c>
      <c r="E219" s="46"/>
      <c r="F219" s="52">
        <f>((0.4*2+0.5*2)*3.3)*20</f>
        <v>118.79999999999998</v>
      </c>
      <c r="G219" s="47"/>
      <c r="H219" s="47"/>
      <c r="I219" s="152"/>
      <c r="J219" s="155"/>
      <c r="K219" s="84"/>
      <c r="L219" s="84"/>
      <c r="M219" s="84"/>
      <c r="N219" s="84"/>
      <c r="O219" s="84"/>
      <c r="P219" s="84"/>
      <c r="Q219" s="84"/>
      <c r="R219" s="84"/>
      <c r="S219" s="84"/>
    </row>
    <row r="220" spans="1:19" s="61" customFormat="1" ht="13.5" customHeight="1">
      <c r="A220" s="45">
        <v>66</v>
      </c>
      <c r="B220" s="51" t="s">
        <v>98</v>
      </c>
      <c r="C220" s="46">
        <v>331351126</v>
      </c>
      <c r="D220" s="46" t="s">
        <v>215</v>
      </c>
      <c r="E220" s="46" t="s">
        <v>21</v>
      </c>
      <c r="F220" s="50">
        <f>F216</f>
        <v>257.76</v>
      </c>
      <c r="G220" s="11"/>
      <c r="H220" s="47">
        <f>F220*G220</f>
        <v>0</v>
      </c>
      <c r="I220" s="48" t="s">
        <v>183</v>
      </c>
      <c r="J220" s="60"/>
      <c r="K220" s="60"/>
      <c r="L220" s="60"/>
      <c r="M220" s="60"/>
      <c r="N220" s="60"/>
      <c r="O220" s="60"/>
      <c r="P220" s="60"/>
      <c r="Q220" s="60"/>
      <c r="R220" s="60"/>
      <c r="S220" s="60"/>
    </row>
    <row r="221" spans="1:19" s="61" customFormat="1" ht="13.5" customHeight="1">
      <c r="A221" s="45">
        <v>67</v>
      </c>
      <c r="B221" s="51" t="s">
        <v>98</v>
      </c>
      <c r="C221" s="46">
        <v>331351321</v>
      </c>
      <c r="D221" s="46" t="s">
        <v>403</v>
      </c>
      <c r="E221" s="46" t="s">
        <v>21</v>
      </c>
      <c r="F221" s="50">
        <f>SUM(F223:F223)</f>
        <v>87.000000000000014</v>
      </c>
      <c r="G221" s="11"/>
      <c r="H221" s="47">
        <f>F221*G221</f>
        <v>0</v>
      </c>
      <c r="I221" s="48" t="s">
        <v>183</v>
      </c>
      <c r="J221" s="60"/>
      <c r="K221" s="60"/>
      <c r="L221" s="60"/>
      <c r="M221" s="60"/>
      <c r="N221" s="60"/>
      <c r="O221" s="60"/>
      <c r="P221" s="60"/>
      <c r="Q221" s="60"/>
      <c r="R221" s="60"/>
      <c r="S221" s="60"/>
    </row>
    <row r="222" spans="1:19" s="61" customFormat="1" ht="13.5" customHeight="1">
      <c r="A222" s="45"/>
      <c r="B222" s="51"/>
      <c r="C222" s="46"/>
      <c r="D222" s="42" t="s">
        <v>352</v>
      </c>
      <c r="E222" s="46"/>
      <c r="F222" s="50"/>
      <c r="G222" s="89"/>
      <c r="H222" s="47"/>
      <c r="I222" s="158"/>
      <c r="J222" s="60"/>
      <c r="K222" s="60"/>
      <c r="L222" s="60"/>
      <c r="M222" s="60"/>
      <c r="N222" s="60"/>
      <c r="O222" s="60"/>
      <c r="P222" s="60"/>
      <c r="Q222" s="60"/>
      <c r="R222" s="60"/>
      <c r="S222" s="60"/>
    </row>
    <row r="223" spans="1:19" s="153" customFormat="1" ht="13.5" customHeight="1">
      <c r="A223" s="85"/>
      <c r="B223" s="51"/>
      <c r="C223" s="46"/>
      <c r="D223" s="42" t="s">
        <v>501</v>
      </c>
      <c r="E223" s="46"/>
      <c r="F223" s="52">
        <f>(0.325*6*2+0.4*6*2)*10</f>
        <v>87.000000000000014</v>
      </c>
      <c r="G223" s="47"/>
      <c r="H223" s="47"/>
      <c r="I223" s="152"/>
      <c r="J223" s="155"/>
      <c r="K223" s="84"/>
      <c r="L223" s="84"/>
      <c r="M223" s="84"/>
      <c r="N223" s="84"/>
      <c r="O223" s="84"/>
      <c r="P223" s="84"/>
      <c r="Q223" s="84"/>
      <c r="R223" s="84"/>
      <c r="S223" s="84"/>
    </row>
    <row r="224" spans="1:19" s="61" customFormat="1" ht="13.5" customHeight="1">
      <c r="A224" s="45">
        <v>68</v>
      </c>
      <c r="B224" s="51" t="s">
        <v>98</v>
      </c>
      <c r="C224" s="46">
        <v>331351322</v>
      </c>
      <c r="D224" s="46" t="s">
        <v>404</v>
      </c>
      <c r="E224" s="46" t="s">
        <v>21</v>
      </c>
      <c r="F224" s="50">
        <f>F221</f>
        <v>87.000000000000014</v>
      </c>
      <c r="G224" s="11"/>
      <c r="H224" s="47">
        <f>F224*G224</f>
        <v>0</v>
      </c>
      <c r="I224" s="48" t="s">
        <v>183</v>
      </c>
      <c r="J224" s="60"/>
      <c r="K224" s="60"/>
      <c r="L224" s="60"/>
      <c r="M224" s="60"/>
      <c r="N224" s="60"/>
      <c r="O224" s="60"/>
      <c r="P224" s="60"/>
      <c r="Q224" s="60"/>
      <c r="R224" s="60"/>
      <c r="S224" s="60"/>
    </row>
    <row r="225" spans="1:19" s="61" customFormat="1" ht="13.5" customHeight="1">
      <c r="A225" s="45">
        <v>69</v>
      </c>
      <c r="B225" s="51" t="s">
        <v>98</v>
      </c>
      <c r="C225" s="46">
        <v>331351911</v>
      </c>
      <c r="D225" s="46" t="s">
        <v>405</v>
      </c>
      <c r="E225" s="46" t="s">
        <v>21</v>
      </c>
      <c r="F225" s="50">
        <f>257.76+87</f>
        <v>344.76</v>
      </c>
      <c r="G225" s="11"/>
      <c r="H225" s="47">
        <f>F225*G225</f>
        <v>0</v>
      </c>
      <c r="I225" s="48" t="s">
        <v>183</v>
      </c>
      <c r="J225" s="60"/>
      <c r="K225" s="60"/>
      <c r="L225" s="60"/>
      <c r="M225" s="60"/>
      <c r="N225" s="60"/>
      <c r="O225" s="60"/>
      <c r="P225" s="60"/>
      <c r="Q225" s="60"/>
      <c r="R225" s="60"/>
      <c r="S225" s="60"/>
    </row>
    <row r="226" spans="1:19" s="61" customFormat="1" ht="13.5" customHeight="1">
      <c r="A226" s="45">
        <v>70</v>
      </c>
      <c r="B226" s="51" t="s">
        <v>98</v>
      </c>
      <c r="C226" s="46">
        <v>331361821</v>
      </c>
      <c r="D226" s="46" t="s">
        <v>202</v>
      </c>
      <c r="E226" s="46" t="s">
        <v>35</v>
      </c>
      <c r="F226" s="50">
        <f>F227</f>
        <v>14.349523809523809</v>
      </c>
      <c r="G226" s="11"/>
      <c r="H226" s="47">
        <f>F226*G226</f>
        <v>0</v>
      </c>
      <c r="I226" s="48" t="s">
        <v>183</v>
      </c>
      <c r="J226" s="60"/>
      <c r="K226" s="60"/>
      <c r="L226" s="60"/>
      <c r="M226" s="60"/>
      <c r="N226" s="60"/>
      <c r="O226" s="60"/>
      <c r="P226" s="60"/>
      <c r="Q226" s="60"/>
      <c r="R226" s="60"/>
      <c r="S226" s="60"/>
    </row>
    <row r="227" spans="1:19" s="139" customFormat="1" ht="27" customHeight="1">
      <c r="A227" s="140"/>
      <c r="B227" s="42"/>
      <c r="C227" s="42"/>
      <c r="D227" s="83" t="s">
        <v>425</v>
      </c>
      <c r="E227" s="42"/>
      <c r="F227" s="52">
        <f>((16.21+9.58+13.86)/1.05)*0.38</f>
        <v>14.349523809523809</v>
      </c>
      <c r="G227" s="141"/>
      <c r="H227" s="141"/>
      <c r="I227" s="142"/>
      <c r="J227" s="138"/>
      <c r="K227" s="138"/>
      <c r="L227" s="138"/>
      <c r="M227" s="138"/>
      <c r="N227" s="138"/>
      <c r="O227" s="138"/>
      <c r="P227" s="138"/>
      <c r="Q227" s="138"/>
      <c r="R227" s="138"/>
      <c r="S227" s="138"/>
    </row>
    <row r="228" spans="1:19" s="61" customFormat="1" ht="13.5" customHeight="1">
      <c r="A228" s="111"/>
      <c r="B228" s="112"/>
      <c r="C228" s="112">
        <v>4</v>
      </c>
      <c r="D228" s="112" t="s">
        <v>36</v>
      </c>
      <c r="E228" s="112"/>
      <c r="F228" s="113"/>
      <c r="G228" s="114"/>
      <c r="H228" s="114">
        <f>SUM(H229:H298)</f>
        <v>0</v>
      </c>
      <c r="I228" s="53"/>
      <c r="J228" s="60"/>
      <c r="K228" s="60"/>
      <c r="L228" s="60"/>
      <c r="M228" s="60"/>
      <c r="N228" s="60"/>
      <c r="O228" s="60"/>
      <c r="P228" s="60"/>
      <c r="Q228" s="60"/>
      <c r="R228" s="60"/>
      <c r="S228" s="60"/>
    </row>
    <row r="229" spans="1:19" s="60" customFormat="1" ht="27" customHeight="1">
      <c r="A229" s="45">
        <v>71</v>
      </c>
      <c r="B229" s="51" t="s">
        <v>98</v>
      </c>
      <c r="C229" s="46" t="s">
        <v>407</v>
      </c>
      <c r="D229" s="46" t="s">
        <v>406</v>
      </c>
      <c r="E229" s="46" t="s">
        <v>27</v>
      </c>
      <c r="F229" s="143">
        <f>SUM(F230:F232)</f>
        <v>183.14646000000002</v>
      </c>
      <c r="G229" s="11"/>
      <c r="H229" s="47">
        <f>F229*G229</f>
        <v>0</v>
      </c>
      <c r="I229" s="48" t="s">
        <v>259</v>
      </c>
      <c r="J229" s="81"/>
    </row>
    <row r="230" spans="1:19" s="61" customFormat="1" ht="13.5" customHeight="1">
      <c r="A230" s="45"/>
      <c r="B230" s="46"/>
      <c r="C230" s="46"/>
      <c r="D230" s="42" t="s">
        <v>502</v>
      </c>
      <c r="E230" s="46"/>
      <c r="F230" s="52">
        <f>(7.9*44.6*0.25)*1.05</f>
        <v>92.489250000000013</v>
      </c>
      <c r="G230" s="47"/>
      <c r="H230" s="47"/>
      <c r="I230" s="48"/>
      <c r="J230" s="60"/>
      <c r="K230" s="60"/>
      <c r="L230" s="60"/>
      <c r="M230" s="60"/>
      <c r="N230" s="60"/>
      <c r="O230" s="60"/>
      <c r="P230" s="60"/>
      <c r="Q230" s="60"/>
      <c r="R230" s="60"/>
      <c r="S230" s="60"/>
    </row>
    <row r="231" spans="1:19" s="61" customFormat="1" ht="13.5" customHeight="1">
      <c r="A231" s="45"/>
      <c r="B231" s="46"/>
      <c r="C231" s="46"/>
      <c r="D231" s="42" t="s">
        <v>503</v>
      </c>
      <c r="E231" s="46"/>
      <c r="F231" s="52">
        <f>(3+0.661+0.904+1.508)*1.05</f>
        <v>6.3766500000000006</v>
      </c>
      <c r="G231" s="47"/>
      <c r="H231" s="47"/>
      <c r="I231" s="48"/>
      <c r="J231" s="60"/>
      <c r="K231" s="60"/>
      <c r="L231" s="60"/>
      <c r="M231" s="60"/>
      <c r="N231" s="60"/>
      <c r="O231" s="60"/>
      <c r="P231" s="60"/>
      <c r="Q231" s="60"/>
      <c r="R231" s="60"/>
      <c r="S231" s="60"/>
    </row>
    <row r="232" spans="1:19" s="61" customFormat="1" ht="13.5" customHeight="1">
      <c r="A232" s="45"/>
      <c r="B232" s="46"/>
      <c r="C232" s="46"/>
      <c r="D232" s="42" t="s">
        <v>525</v>
      </c>
      <c r="E232" s="46"/>
      <c r="F232" s="52">
        <f>(45.4*11.05*0.16)*1.05</f>
        <v>84.280560000000008</v>
      </c>
      <c r="G232" s="47"/>
      <c r="H232" s="47"/>
      <c r="I232" s="48"/>
      <c r="J232" s="60"/>
      <c r="K232" s="60"/>
      <c r="L232" s="60"/>
      <c r="M232" s="60"/>
      <c r="N232" s="60"/>
      <c r="O232" s="60"/>
      <c r="P232" s="60"/>
      <c r="Q232" s="60"/>
      <c r="R232" s="60"/>
      <c r="S232" s="60"/>
    </row>
    <row r="233" spans="1:19" s="61" customFormat="1" ht="27" customHeight="1">
      <c r="A233" s="144"/>
      <c r="B233" s="145"/>
      <c r="C233" s="145"/>
      <c r="D233" s="42" t="s">
        <v>201</v>
      </c>
      <c r="E233" s="145"/>
      <c r="F233" s="146"/>
      <c r="G233" s="147"/>
      <c r="H233" s="47"/>
      <c r="I233" s="48"/>
      <c r="J233" s="81"/>
      <c r="K233" s="60"/>
      <c r="L233" s="60"/>
      <c r="M233" s="60"/>
      <c r="N233" s="60"/>
      <c r="O233" s="60"/>
      <c r="P233" s="60"/>
      <c r="Q233" s="60"/>
      <c r="R233" s="60"/>
      <c r="S233" s="60"/>
    </row>
    <row r="234" spans="1:19" s="61" customFormat="1" ht="13.5" customHeight="1">
      <c r="A234" s="45">
        <v>72</v>
      </c>
      <c r="B234" s="51" t="s">
        <v>98</v>
      </c>
      <c r="C234" s="46">
        <v>411351011</v>
      </c>
      <c r="D234" s="46" t="s">
        <v>216</v>
      </c>
      <c r="E234" s="46" t="s">
        <v>21</v>
      </c>
      <c r="F234" s="50">
        <f>SUM(F235:F238)</f>
        <v>818.4559999999999</v>
      </c>
      <c r="G234" s="11"/>
      <c r="H234" s="47">
        <f>F234*G234</f>
        <v>0</v>
      </c>
      <c r="I234" s="48" t="s">
        <v>183</v>
      </c>
      <c r="J234" s="60"/>
      <c r="K234" s="60"/>
      <c r="L234" s="60"/>
      <c r="M234" s="60"/>
      <c r="N234" s="60"/>
      <c r="O234" s="60"/>
      <c r="P234" s="60"/>
      <c r="Q234" s="60"/>
      <c r="R234" s="60"/>
      <c r="S234" s="60"/>
    </row>
    <row r="235" spans="1:19" s="139" customFormat="1" ht="13.5" customHeight="1">
      <c r="A235" s="140"/>
      <c r="B235" s="42"/>
      <c r="C235" s="42"/>
      <c r="D235" s="42" t="s">
        <v>504</v>
      </c>
      <c r="E235" s="42"/>
      <c r="F235" s="52">
        <f>313.11+23.383</f>
        <v>336.49299999999999</v>
      </c>
      <c r="G235" s="141"/>
      <c r="H235" s="141"/>
      <c r="I235" s="142"/>
      <c r="J235" s="138"/>
      <c r="K235" s="138"/>
      <c r="L235" s="138"/>
      <c r="M235" s="138"/>
      <c r="N235" s="138"/>
      <c r="O235" s="138"/>
      <c r="P235" s="138"/>
      <c r="Q235" s="138"/>
      <c r="R235" s="138"/>
      <c r="S235" s="138"/>
    </row>
    <row r="236" spans="1:19" s="139" customFormat="1" ht="13.5" customHeight="1">
      <c r="A236" s="140"/>
      <c r="B236" s="42"/>
      <c r="C236" s="42"/>
      <c r="D236" s="42" t="s">
        <v>505</v>
      </c>
      <c r="E236" s="42"/>
      <c r="F236" s="52">
        <f>22.902+5.363</f>
        <v>28.265000000000001</v>
      </c>
      <c r="G236" s="141"/>
      <c r="H236" s="141"/>
      <c r="I236" s="142"/>
      <c r="J236" s="138"/>
      <c r="K236" s="138"/>
      <c r="L236" s="138"/>
      <c r="M236" s="138"/>
      <c r="N236" s="138"/>
      <c r="O236" s="138"/>
      <c r="P236" s="138"/>
      <c r="Q236" s="138"/>
      <c r="R236" s="138"/>
      <c r="S236" s="138"/>
    </row>
    <row r="237" spans="1:19" s="139" customFormat="1" ht="13.5" customHeight="1">
      <c r="A237" s="140"/>
      <c r="B237" s="42"/>
      <c r="C237" s="42"/>
      <c r="D237" s="42" t="s">
        <v>526</v>
      </c>
      <c r="E237" s="42"/>
      <c r="F237" s="52">
        <f>435.89</f>
        <v>435.89</v>
      </c>
      <c r="G237" s="141"/>
      <c r="H237" s="141"/>
      <c r="I237" s="142"/>
      <c r="J237" s="138"/>
      <c r="K237" s="138"/>
      <c r="L237" s="138"/>
      <c r="M237" s="138"/>
      <c r="N237" s="138"/>
      <c r="O237" s="138"/>
      <c r="P237" s="138"/>
      <c r="Q237" s="138"/>
      <c r="R237" s="138"/>
      <c r="S237" s="138"/>
    </row>
    <row r="238" spans="1:19" s="139" customFormat="1" ht="13.5" customHeight="1">
      <c r="A238" s="140"/>
      <c r="B238" s="42"/>
      <c r="C238" s="42"/>
      <c r="D238" s="42" t="s">
        <v>527</v>
      </c>
      <c r="E238" s="42"/>
      <c r="F238" s="52">
        <f>17.808</f>
        <v>17.808</v>
      </c>
      <c r="G238" s="141"/>
      <c r="H238" s="141"/>
      <c r="I238" s="142"/>
      <c r="J238" s="138"/>
      <c r="K238" s="138"/>
      <c r="L238" s="138"/>
      <c r="M238" s="138"/>
      <c r="N238" s="138"/>
      <c r="O238" s="138"/>
      <c r="P238" s="138"/>
      <c r="Q238" s="138"/>
      <c r="R238" s="138"/>
      <c r="S238" s="138"/>
    </row>
    <row r="239" spans="1:19" s="61" customFormat="1" ht="13.5" customHeight="1">
      <c r="A239" s="45">
        <v>73</v>
      </c>
      <c r="B239" s="51" t="s">
        <v>98</v>
      </c>
      <c r="C239" s="46">
        <v>411351012</v>
      </c>
      <c r="D239" s="46" t="s">
        <v>217</v>
      </c>
      <c r="E239" s="46" t="s">
        <v>21</v>
      </c>
      <c r="F239" s="50">
        <f>F234</f>
        <v>818.4559999999999</v>
      </c>
      <c r="G239" s="11"/>
      <c r="H239" s="47">
        <f>F239*G239</f>
        <v>0</v>
      </c>
      <c r="I239" s="48" t="s">
        <v>183</v>
      </c>
      <c r="J239" s="60"/>
      <c r="K239" s="60"/>
      <c r="L239" s="60"/>
      <c r="M239" s="60"/>
      <c r="N239" s="60"/>
      <c r="O239" s="60"/>
      <c r="P239" s="60"/>
      <c r="Q239" s="60"/>
      <c r="R239" s="60"/>
      <c r="S239" s="60"/>
    </row>
    <row r="240" spans="1:19" s="61" customFormat="1" ht="13.5" customHeight="1">
      <c r="A240" s="45">
        <v>74</v>
      </c>
      <c r="B240" s="51" t="s">
        <v>98</v>
      </c>
      <c r="C240" s="46">
        <v>411354313</v>
      </c>
      <c r="D240" s="46" t="s">
        <v>218</v>
      </c>
      <c r="E240" s="46" t="s">
        <v>21</v>
      </c>
      <c r="F240" s="50">
        <f>SUM(F241:F242)</f>
        <v>772.38300000000004</v>
      </c>
      <c r="G240" s="11"/>
      <c r="H240" s="47">
        <f>F240*G240</f>
        <v>0</v>
      </c>
      <c r="I240" s="48" t="s">
        <v>183</v>
      </c>
      <c r="J240" s="60"/>
      <c r="K240" s="60"/>
      <c r="L240" s="60"/>
      <c r="M240" s="60"/>
      <c r="N240" s="60"/>
      <c r="O240" s="60"/>
      <c r="P240" s="60"/>
      <c r="Q240" s="60"/>
      <c r="R240" s="60"/>
      <c r="S240" s="60"/>
    </row>
    <row r="241" spans="1:21" s="139" customFormat="1" ht="13.5" customHeight="1">
      <c r="A241" s="140"/>
      <c r="B241" s="42"/>
      <c r="C241" s="42"/>
      <c r="D241" s="42" t="s">
        <v>506</v>
      </c>
      <c r="E241" s="42"/>
      <c r="F241" s="52">
        <f>313.11+23.383</f>
        <v>336.49299999999999</v>
      </c>
      <c r="G241" s="141"/>
      <c r="H241" s="141"/>
      <c r="I241" s="142"/>
      <c r="J241" s="138"/>
      <c r="K241" s="138"/>
      <c r="L241" s="138"/>
      <c r="M241" s="138"/>
      <c r="N241" s="60"/>
      <c r="O241" s="60"/>
      <c r="P241" s="138"/>
      <c r="Q241" s="138"/>
      <c r="R241" s="60"/>
      <c r="S241" s="138"/>
      <c r="U241" s="61"/>
    </row>
    <row r="242" spans="1:21" s="139" customFormat="1" ht="13.5" customHeight="1">
      <c r="A242" s="140"/>
      <c r="B242" s="42"/>
      <c r="C242" s="42"/>
      <c r="D242" s="42" t="s">
        <v>528</v>
      </c>
      <c r="E242" s="42"/>
      <c r="F242" s="52">
        <f>435.89</f>
        <v>435.89</v>
      </c>
      <c r="G242" s="141"/>
      <c r="H242" s="141"/>
      <c r="I242" s="142"/>
      <c r="J242" s="138"/>
      <c r="K242" s="138"/>
      <c r="L242" s="138"/>
      <c r="M242" s="138"/>
      <c r="N242" s="138"/>
      <c r="O242" s="60"/>
      <c r="P242" s="138"/>
      <c r="Q242" s="138"/>
      <c r="R242" s="138"/>
      <c r="S242" s="138"/>
    </row>
    <row r="243" spans="1:21" s="61" customFormat="1" ht="13.5" customHeight="1">
      <c r="A243" s="45">
        <v>75</v>
      </c>
      <c r="B243" s="51" t="s">
        <v>98</v>
      </c>
      <c r="C243" s="46">
        <v>411354314</v>
      </c>
      <c r="D243" s="46" t="s">
        <v>219</v>
      </c>
      <c r="E243" s="46" t="s">
        <v>21</v>
      </c>
      <c r="F243" s="50">
        <f>F240</f>
        <v>772.38300000000004</v>
      </c>
      <c r="G243" s="11"/>
      <c r="H243" s="47">
        <f>F243*G243</f>
        <v>0</v>
      </c>
      <c r="I243" s="48" t="s">
        <v>183</v>
      </c>
      <c r="J243" s="60"/>
      <c r="K243" s="60"/>
      <c r="L243" s="60"/>
      <c r="M243" s="60"/>
      <c r="N243" s="60"/>
      <c r="O243" s="60"/>
      <c r="P243" s="60"/>
      <c r="Q243" s="60"/>
      <c r="R243" s="60"/>
      <c r="S243" s="60"/>
    </row>
    <row r="244" spans="1:21" s="61" customFormat="1" ht="13.5" customHeight="1">
      <c r="A244" s="45">
        <v>76</v>
      </c>
      <c r="B244" s="51" t="s">
        <v>98</v>
      </c>
      <c r="C244" s="46">
        <v>411359111</v>
      </c>
      <c r="D244" s="46" t="s">
        <v>408</v>
      </c>
      <c r="E244" s="46" t="s">
        <v>21</v>
      </c>
      <c r="F244" s="50">
        <f>F234</f>
        <v>818.4559999999999</v>
      </c>
      <c r="G244" s="11"/>
      <c r="H244" s="47">
        <f>F244*G244</f>
        <v>0</v>
      </c>
      <c r="I244" s="48" t="s">
        <v>183</v>
      </c>
      <c r="J244" s="60"/>
      <c r="K244" s="60"/>
      <c r="L244" s="60"/>
      <c r="M244" s="60"/>
      <c r="N244" s="60"/>
      <c r="O244" s="60"/>
      <c r="P244" s="60"/>
      <c r="Q244" s="60"/>
      <c r="R244" s="60"/>
      <c r="S244" s="60"/>
    </row>
    <row r="245" spans="1:21" s="61" customFormat="1" ht="13.5" customHeight="1">
      <c r="A245" s="45">
        <v>77</v>
      </c>
      <c r="B245" s="51" t="s">
        <v>98</v>
      </c>
      <c r="C245" s="46">
        <v>411361821</v>
      </c>
      <c r="D245" s="46" t="s">
        <v>220</v>
      </c>
      <c r="E245" s="46" t="s">
        <v>35</v>
      </c>
      <c r="F245" s="50">
        <f>SUM(F246:F247)</f>
        <v>29.513904761904762</v>
      </c>
      <c r="G245" s="11"/>
      <c r="H245" s="47">
        <f>F245*G245</f>
        <v>0</v>
      </c>
      <c r="I245" s="48" t="s">
        <v>183</v>
      </c>
      <c r="J245" s="60"/>
      <c r="K245" s="60"/>
      <c r="L245" s="60"/>
      <c r="M245" s="60"/>
      <c r="N245" s="60"/>
      <c r="O245" s="60"/>
      <c r="P245" s="60"/>
      <c r="Q245" s="60"/>
      <c r="R245" s="60"/>
      <c r="S245" s="60"/>
    </row>
    <row r="246" spans="1:21" s="139" customFormat="1" ht="27" customHeight="1">
      <c r="A246" s="140"/>
      <c r="B246" s="42"/>
      <c r="C246" s="42"/>
      <c r="D246" s="83" t="s">
        <v>507</v>
      </c>
      <c r="E246" s="42"/>
      <c r="F246" s="52">
        <f>((92.49+6.38)/1.05)*0.16</f>
        <v>15.065904761904761</v>
      </c>
      <c r="G246" s="141"/>
      <c r="H246" s="141"/>
      <c r="I246" s="142"/>
      <c r="J246" s="138"/>
      <c r="K246" s="138"/>
      <c r="L246" s="138"/>
      <c r="M246" s="138"/>
      <c r="N246" s="138"/>
      <c r="O246" s="138"/>
      <c r="P246" s="138"/>
      <c r="Q246" s="138"/>
      <c r="R246" s="138"/>
      <c r="S246" s="138"/>
    </row>
    <row r="247" spans="1:21" s="139" customFormat="1" ht="27" customHeight="1">
      <c r="A247" s="140"/>
      <c r="B247" s="42"/>
      <c r="C247" s="42"/>
      <c r="D247" s="83" t="s">
        <v>529</v>
      </c>
      <c r="E247" s="42"/>
      <c r="F247" s="52">
        <f>(84.28/1.05)*0.18</f>
        <v>14.447999999999999</v>
      </c>
      <c r="G247" s="141"/>
      <c r="H247" s="141"/>
      <c r="I247" s="142"/>
      <c r="J247" s="138"/>
      <c r="K247" s="138"/>
      <c r="L247" s="138"/>
      <c r="M247" s="138"/>
      <c r="N247" s="138"/>
      <c r="O247" s="138"/>
      <c r="P247" s="138"/>
      <c r="Q247" s="138"/>
      <c r="R247" s="138"/>
      <c r="S247" s="138"/>
    </row>
    <row r="248" spans="1:21" s="60" customFormat="1" ht="27" customHeight="1">
      <c r="A248" s="45">
        <v>78</v>
      </c>
      <c r="B248" s="51" t="s">
        <v>98</v>
      </c>
      <c r="C248" s="46" t="s">
        <v>409</v>
      </c>
      <c r="D248" s="46" t="s">
        <v>410</v>
      </c>
      <c r="E248" s="46" t="s">
        <v>27</v>
      </c>
      <c r="F248" s="143">
        <f>SUM(F249:F254)</f>
        <v>53.709871950000007</v>
      </c>
      <c r="G248" s="11"/>
      <c r="H248" s="47">
        <f>F248*G248</f>
        <v>0</v>
      </c>
      <c r="I248" s="48" t="s">
        <v>259</v>
      </c>
    </row>
    <row r="249" spans="1:21" s="61" customFormat="1" ht="13.5" customHeight="1">
      <c r="A249" s="45"/>
      <c r="B249" s="46"/>
      <c r="C249" s="46"/>
      <c r="D249" s="42" t="s">
        <v>508</v>
      </c>
      <c r="E249" s="46"/>
      <c r="F249" s="52">
        <f>(7.1*0.3*0.5+4.667*0.25*0.77+4.626*0.25*0.771)*1.05</f>
        <v>2.99781195</v>
      </c>
      <c r="G249" s="47"/>
      <c r="H249" s="47"/>
      <c r="I249" s="48"/>
      <c r="J249" s="60"/>
      <c r="K249" s="60"/>
      <c r="L249" s="60"/>
      <c r="M249" s="60"/>
      <c r="N249" s="60"/>
      <c r="O249" s="60"/>
      <c r="P249" s="60"/>
      <c r="Q249" s="60"/>
      <c r="R249" s="60"/>
      <c r="S249" s="60"/>
    </row>
    <row r="250" spans="1:21" s="61" customFormat="1" ht="13.5" customHeight="1">
      <c r="A250" s="45"/>
      <c r="B250" s="46"/>
      <c r="C250" s="46"/>
      <c r="D250" s="42" t="s">
        <v>509</v>
      </c>
      <c r="E250" s="46"/>
      <c r="F250" s="52">
        <f>((6.9*0.4*0.6)*9+(7.15*0.4*0.6)*1)*1.05</f>
        <v>17.451000000000001</v>
      </c>
      <c r="G250" s="47"/>
      <c r="H250" s="47"/>
      <c r="I250" s="48"/>
      <c r="J250" s="60"/>
      <c r="K250" s="60"/>
      <c r="L250" s="60"/>
      <c r="M250" s="60"/>
      <c r="N250" s="60"/>
      <c r="O250" s="60"/>
      <c r="P250" s="60"/>
      <c r="Q250" s="60"/>
      <c r="R250" s="60"/>
      <c r="S250" s="60"/>
    </row>
    <row r="251" spans="1:21" s="61" customFormat="1" ht="13.5" customHeight="1">
      <c r="A251" s="45"/>
      <c r="B251" s="46"/>
      <c r="C251" s="46"/>
      <c r="D251" s="42" t="s">
        <v>510</v>
      </c>
      <c r="E251" s="46"/>
      <c r="F251" s="52">
        <f>((4.6*0.3*0.6)*5)*1.05</f>
        <v>4.3469999999999995</v>
      </c>
      <c r="G251" s="47"/>
      <c r="H251" s="47"/>
      <c r="I251" s="48"/>
      <c r="J251" s="60"/>
      <c r="K251" s="60"/>
      <c r="L251" s="97"/>
      <c r="M251" s="60"/>
      <c r="N251" s="60"/>
      <c r="O251" s="60"/>
      <c r="P251" s="60"/>
      <c r="Q251" s="60"/>
      <c r="R251" s="60"/>
      <c r="S251" s="60"/>
    </row>
    <row r="252" spans="1:21" s="61" customFormat="1" ht="40.5" customHeight="1">
      <c r="A252" s="45"/>
      <c r="B252" s="46"/>
      <c r="C252" s="46"/>
      <c r="D252" s="42" t="s">
        <v>511</v>
      </c>
      <c r="E252" s="46"/>
      <c r="F252" s="52">
        <f>(0.71+0.263*2+0.288*5+0.131+0.162+0.078*2+0.069+0.188+0.166*2+0.445+0.078+0.094+0.148+0.072)*1.05</f>
        <v>4.778550000000001</v>
      </c>
      <c r="G252" s="47"/>
      <c r="H252" s="47"/>
      <c r="I252" s="48"/>
      <c r="J252" s="60"/>
      <c r="K252" s="60"/>
      <c r="L252" s="97"/>
      <c r="M252" s="60"/>
      <c r="N252" s="60"/>
      <c r="O252" s="60"/>
      <c r="P252" s="60"/>
      <c r="Q252" s="60"/>
      <c r="R252" s="60"/>
      <c r="S252" s="60"/>
    </row>
    <row r="253" spans="1:21" s="61" customFormat="1" ht="13.5" customHeight="1">
      <c r="A253" s="45"/>
      <c r="B253" s="46"/>
      <c r="C253" s="46"/>
      <c r="D253" s="42" t="s">
        <v>530</v>
      </c>
      <c r="E253" s="46"/>
      <c r="F253" s="52">
        <f>((6.9*7+10.15*2+7.1+7+2.1)*0.4*0.34+45.4*0.4*0.34)*1.05</f>
        <v>18.592560000000002</v>
      </c>
      <c r="G253" s="47"/>
      <c r="H253" s="47"/>
      <c r="I253" s="48"/>
      <c r="J253" s="60"/>
      <c r="K253" s="60"/>
      <c r="L253" s="97"/>
      <c r="M253" s="60"/>
      <c r="N253" s="60"/>
      <c r="O253" s="60"/>
      <c r="P253" s="60"/>
      <c r="Q253" s="60"/>
      <c r="R253" s="60"/>
      <c r="S253" s="60"/>
    </row>
    <row r="254" spans="1:21" s="60" customFormat="1" ht="13.5" customHeight="1">
      <c r="A254" s="45"/>
      <c r="B254" s="46"/>
      <c r="C254" s="46"/>
      <c r="D254" s="42" t="s">
        <v>531</v>
      </c>
      <c r="E254" s="46"/>
      <c r="F254" s="52">
        <f>(4.6*0.25*0.34*10+4.6*0.25*0.88+4.2*0.25*0.34)*1.05</f>
        <v>5.5429500000000012</v>
      </c>
      <c r="G254" s="47"/>
      <c r="H254" s="47"/>
      <c r="I254" s="48"/>
      <c r="J254" s="125"/>
      <c r="L254" s="97"/>
    </row>
    <row r="255" spans="1:21" s="61" customFormat="1" ht="27" customHeight="1">
      <c r="A255" s="144"/>
      <c r="B255" s="145"/>
      <c r="C255" s="145"/>
      <c r="D255" s="42" t="s">
        <v>201</v>
      </c>
      <c r="E255" s="145"/>
      <c r="F255" s="146"/>
      <c r="G255" s="147"/>
      <c r="H255" s="47"/>
      <c r="I255" s="48"/>
      <c r="J255" s="60"/>
      <c r="K255" s="60"/>
      <c r="L255" s="97"/>
      <c r="M255" s="60"/>
      <c r="N255" s="60"/>
      <c r="O255" s="60"/>
      <c r="P255" s="60"/>
      <c r="Q255" s="60"/>
      <c r="R255" s="60"/>
      <c r="S255" s="60"/>
    </row>
    <row r="256" spans="1:21" s="61" customFormat="1" ht="13.5" customHeight="1">
      <c r="A256" s="45">
        <v>79</v>
      </c>
      <c r="B256" s="51" t="s">
        <v>98</v>
      </c>
      <c r="C256" s="46">
        <v>413351111</v>
      </c>
      <c r="D256" s="46" t="s">
        <v>221</v>
      </c>
      <c r="E256" s="46" t="s">
        <v>21</v>
      </c>
      <c r="F256" s="50">
        <f>SUM(F257:F262)</f>
        <v>456.67699999999996</v>
      </c>
      <c r="G256" s="11"/>
      <c r="H256" s="47">
        <f>F256*G256</f>
        <v>0</v>
      </c>
      <c r="I256" s="48" t="s">
        <v>183</v>
      </c>
      <c r="J256" s="60"/>
      <c r="K256" s="60"/>
      <c r="L256" s="97"/>
      <c r="M256" s="60"/>
      <c r="N256" s="60"/>
      <c r="O256" s="60"/>
      <c r="P256" s="60"/>
      <c r="Q256" s="60"/>
      <c r="R256" s="60"/>
      <c r="S256" s="60"/>
    </row>
    <row r="257" spans="1:19" s="139" customFormat="1" ht="13.5" customHeight="1">
      <c r="A257" s="140"/>
      <c r="B257" s="42"/>
      <c r="C257" s="42"/>
      <c r="D257" s="42" t="s">
        <v>512</v>
      </c>
      <c r="E257" s="42"/>
      <c r="F257" s="52">
        <f>(9.43+8.805+8.733)</f>
        <v>26.968</v>
      </c>
      <c r="G257" s="141"/>
      <c r="H257" s="141"/>
      <c r="I257" s="142"/>
      <c r="J257" s="138"/>
      <c r="K257" s="125"/>
      <c r="L257" s="159"/>
      <c r="M257" s="138"/>
      <c r="N257" s="138"/>
      <c r="O257" s="138"/>
      <c r="P257" s="138"/>
      <c r="Q257" s="138"/>
      <c r="R257" s="138"/>
      <c r="S257" s="138"/>
    </row>
    <row r="258" spans="1:19" s="139" customFormat="1" ht="13.5" customHeight="1">
      <c r="A258" s="140"/>
      <c r="B258" s="42"/>
      <c r="C258" s="42"/>
      <c r="D258" s="42" t="s">
        <v>513</v>
      </c>
      <c r="E258" s="42"/>
      <c r="F258" s="52">
        <f>11.52*8+11.97+11.86</f>
        <v>115.99</v>
      </c>
      <c r="G258" s="141"/>
      <c r="H258" s="141"/>
      <c r="I258" s="142"/>
      <c r="J258" s="125"/>
      <c r="K258" s="138"/>
      <c r="L258" s="159"/>
      <c r="M258" s="138"/>
      <c r="N258" s="138"/>
      <c r="O258" s="138"/>
      <c r="P258" s="138"/>
      <c r="Q258" s="138"/>
      <c r="R258" s="138"/>
      <c r="S258" s="138"/>
    </row>
    <row r="259" spans="1:19" s="139" customFormat="1" ht="13.5" customHeight="1">
      <c r="A259" s="140"/>
      <c r="B259" s="42"/>
      <c r="C259" s="42"/>
      <c r="D259" s="42" t="s">
        <v>514</v>
      </c>
      <c r="E259" s="42"/>
      <c r="F259" s="52">
        <f>7.26*2+7.21*3</f>
        <v>36.15</v>
      </c>
      <c r="G259" s="141"/>
      <c r="H259" s="141"/>
      <c r="I259" s="142"/>
      <c r="J259" s="125"/>
      <c r="K259" s="138"/>
      <c r="L259" s="159"/>
      <c r="M259" s="138"/>
      <c r="N259" s="138"/>
      <c r="O259" s="138"/>
      <c r="P259" s="138"/>
      <c r="Q259" s="138"/>
      <c r="R259" s="138"/>
      <c r="S259" s="138"/>
    </row>
    <row r="260" spans="1:19" s="139" customFormat="1" ht="40.5" customHeight="1">
      <c r="A260" s="140"/>
      <c r="B260" s="42"/>
      <c r="C260" s="42"/>
      <c r="D260" s="42" t="s">
        <v>515</v>
      </c>
      <c r="E260" s="42"/>
      <c r="F260" s="52">
        <f>0.825+0.862+1.062+0.95+0.988+1.176+1.7+1.781+1.95+1.987+1.989+2.261+3.275+3.275+3.575+3.575+3.575+3.575+3.575+5.282+5.695</f>
        <v>52.933</v>
      </c>
      <c r="G260" s="141"/>
      <c r="H260" s="141"/>
      <c r="I260" s="142"/>
      <c r="J260" s="125"/>
      <c r="K260" s="138"/>
      <c r="L260" s="159"/>
      <c r="M260" s="138"/>
      <c r="N260" s="138"/>
      <c r="O260" s="138"/>
      <c r="P260" s="138"/>
      <c r="Q260" s="138"/>
      <c r="R260" s="138"/>
      <c r="S260" s="138"/>
    </row>
    <row r="261" spans="1:19" s="138" customFormat="1" ht="13.5" customHeight="1">
      <c r="A261" s="140"/>
      <c r="B261" s="42"/>
      <c r="C261" s="42"/>
      <c r="D261" s="42" t="s">
        <v>532</v>
      </c>
      <c r="E261" s="42"/>
      <c r="F261" s="52">
        <f>2.54+7.724*7+7.696+7.804+11.098+11.013+72.26</f>
        <v>166.47900000000001</v>
      </c>
      <c r="G261" s="141"/>
      <c r="H261" s="141"/>
      <c r="I261" s="142"/>
      <c r="J261" s="160"/>
      <c r="L261" s="159"/>
    </row>
    <row r="262" spans="1:19" s="139" customFormat="1" ht="13.5" customHeight="1">
      <c r="A262" s="140"/>
      <c r="B262" s="42"/>
      <c r="C262" s="42"/>
      <c r="D262" s="42" t="s">
        <v>533</v>
      </c>
      <c r="E262" s="42"/>
      <c r="F262" s="52">
        <f>4.448*9+4.076+4.363+9.686</f>
        <v>58.157000000000004</v>
      </c>
      <c r="G262" s="141"/>
      <c r="H262" s="141"/>
      <c r="I262" s="142"/>
      <c r="J262" s="161"/>
      <c r="K262" s="138"/>
      <c r="L262" s="159"/>
      <c r="M262" s="138"/>
      <c r="N262" s="138"/>
      <c r="O262" s="138"/>
      <c r="P262" s="138"/>
      <c r="Q262" s="138"/>
      <c r="R262" s="138"/>
      <c r="S262" s="138"/>
    </row>
    <row r="263" spans="1:19" s="61" customFormat="1" ht="13.5" customHeight="1">
      <c r="A263" s="45">
        <v>80</v>
      </c>
      <c r="B263" s="51" t="s">
        <v>98</v>
      </c>
      <c r="C263" s="46">
        <v>413351112</v>
      </c>
      <c r="D263" s="46" t="s">
        <v>222</v>
      </c>
      <c r="E263" s="46" t="s">
        <v>21</v>
      </c>
      <c r="F263" s="50">
        <f>F256</f>
        <v>456.67699999999996</v>
      </c>
      <c r="G263" s="11"/>
      <c r="H263" s="47">
        <f>F263*G263</f>
        <v>0</v>
      </c>
      <c r="I263" s="48" t="s">
        <v>183</v>
      </c>
      <c r="J263" s="87"/>
      <c r="K263" s="60"/>
      <c r="L263" s="97"/>
      <c r="M263" s="60"/>
      <c r="N263" s="60"/>
      <c r="O263" s="60"/>
      <c r="P263" s="60"/>
      <c r="Q263" s="60"/>
      <c r="R263" s="60"/>
      <c r="S263" s="60"/>
    </row>
    <row r="264" spans="1:19" s="61" customFormat="1" ht="13.5" customHeight="1">
      <c r="A264" s="45">
        <v>81</v>
      </c>
      <c r="B264" s="51" t="s">
        <v>98</v>
      </c>
      <c r="C264" s="46">
        <v>413352111</v>
      </c>
      <c r="D264" s="46" t="s">
        <v>223</v>
      </c>
      <c r="E264" s="46" t="s">
        <v>21</v>
      </c>
      <c r="F264" s="50">
        <f>SUM(F265:F270)</f>
        <v>116.31249999999999</v>
      </c>
      <c r="G264" s="11"/>
      <c r="H264" s="47">
        <f>F264*G264</f>
        <v>0</v>
      </c>
      <c r="I264" s="48" t="s">
        <v>183</v>
      </c>
      <c r="J264" s="60"/>
      <c r="K264" s="60"/>
      <c r="L264" s="97"/>
      <c r="M264" s="60"/>
      <c r="N264" s="60"/>
      <c r="O264" s="60"/>
      <c r="P264" s="60"/>
      <c r="Q264" s="60"/>
      <c r="R264" s="60"/>
      <c r="S264" s="60"/>
    </row>
    <row r="265" spans="1:19" s="139" customFormat="1" ht="13.5" customHeight="1">
      <c r="A265" s="140"/>
      <c r="B265" s="42"/>
      <c r="C265" s="42"/>
      <c r="D265" s="42" t="s">
        <v>516</v>
      </c>
      <c r="E265" s="42"/>
      <c r="F265" s="52">
        <f>7.1*0.3+(4.667+4.626)*0.25</f>
        <v>4.4532499999999997</v>
      </c>
      <c r="G265" s="141"/>
      <c r="H265" s="141"/>
      <c r="I265" s="142"/>
      <c r="J265" s="138"/>
      <c r="K265" s="138"/>
      <c r="L265" s="159"/>
      <c r="M265" s="138"/>
      <c r="N265" s="138"/>
      <c r="O265" s="138"/>
      <c r="P265" s="138"/>
      <c r="Q265" s="138"/>
      <c r="R265" s="138"/>
      <c r="S265" s="138"/>
    </row>
    <row r="266" spans="1:19" s="139" customFormat="1" ht="13.5" customHeight="1">
      <c r="A266" s="140"/>
      <c r="B266" s="42"/>
      <c r="C266" s="42"/>
      <c r="D266" s="42" t="s">
        <v>517</v>
      </c>
      <c r="E266" s="42"/>
      <c r="F266" s="52">
        <f>(6.9*9+7.15*1)*0.4</f>
        <v>27.700000000000003</v>
      </c>
      <c r="G266" s="141"/>
      <c r="H266" s="141"/>
      <c r="I266" s="142"/>
      <c r="J266" s="138"/>
      <c r="K266" s="138"/>
      <c r="L266" s="159"/>
      <c r="M266" s="138"/>
      <c r="N266" s="138"/>
      <c r="O266" s="138"/>
      <c r="P266" s="138"/>
      <c r="Q266" s="138"/>
      <c r="R266" s="138"/>
      <c r="S266" s="138"/>
    </row>
    <row r="267" spans="1:19" s="139" customFormat="1" ht="13.5" customHeight="1">
      <c r="A267" s="140"/>
      <c r="B267" s="42"/>
      <c r="C267" s="42"/>
      <c r="D267" s="42" t="s">
        <v>518</v>
      </c>
      <c r="E267" s="42"/>
      <c r="F267" s="52">
        <f>(4.6*5)*0.3</f>
        <v>6.8999999999999995</v>
      </c>
      <c r="G267" s="141"/>
      <c r="H267" s="141"/>
      <c r="I267" s="142"/>
      <c r="J267" s="138"/>
      <c r="K267" s="138"/>
      <c r="L267" s="159"/>
      <c r="M267" s="138"/>
      <c r="N267" s="138"/>
      <c r="O267" s="138"/>
      <c r="P267" s="138"/>
      <c r="Q267" s="138"/>
      <c r="R267" s="138"/>
      <c r="S267" s="138"/>
    </row>
    <row r="268" spans="1:19" s="139" customFormat="1" ht="27" customHeight="1">
      <c r="A268" s="140"/>
      <c r="B268" s="42"/>
      <c r="C268" s="42"/>
      <c r="D268" s="42" t="s">
        <v>519</v>
      </c>
      <c r="E268" s="42"/>
      <c r="F268" s="52">
        <f>(1.1+1.15+1.25*3+1.5+2.1+2.375+2.6+2.65+2.652+3.015+4.2*2+4.6*5+7.125+7.1)*0.25</f>
        <v>17.129249999999999</v>
      </c>
      <c r="G268" s="141"/>
      <c r="H268" s="141"/>
      <c r="I268" s="142"/>
      <c r="J268" s="138"/>
      <c r="K268" s="138"/>
      <c r="L268" s="159"/>
      <c r="M268" s="138"/>
      <c r="N268" s="138"/>
      <c r="O268" s="138"/>
      <c r="P268" s="138"/>
      <c r="Q268" s="138"/>
      <c r="R268" s="138"/>
      <c r="S268" s="138"/>
    </row>
    <row r="269" spans="1:19" s="139" customFormat="1" ht="13.5" customHeight="1">
      <c r="A269" s="140"/>
      <c r="B269" s="42"/>
      <c r="C269" s="42"/>
      <c r="D269" s="42" t="s">
        <v>534</v>
      </c>
      <c r="E269" s="42"/>
      <c r="F269" s="52">
        <f>(2.1+6.9*7+7+7.1+10.15*2+45.4)*0.4</f>
        <v>52.08</v>
      </c>
      <c r="G269" s="141"/>
      <c r="H269" s="141"/>
      <c r="I269" s="142"/>
      <c r="J269" s="138"/>
      <c r="K269" s="138"/>
      <c r="L269" s="159"/>
      <c r="M269" s="138"/>
      <c r="N269" s="138"/>
      <c r="O269" s="138"/>
      <c r="P269" s="138"/>
      <c r="Q269" s="138"/>
      <c r="R269" s="138"/>
      <c r="S269" s="138"/>
    </row>
    <row r="270" spans="1:19" s="138" customFormat="1" ht="13.5" customHeight="1">
      <c r="A270" s="140"/>
      <c r="B270" s="42"/>
      <c r="C270" s="42"/>
      <c r="D270" s="42" t="s">
        <v>535</v>
      </c>
      <c r="E270" s="42"/>
      <c r="F270" s="52">
        <f>1.15*7</f>
        <v>8.0499999999999989</v>
      </c>
      <c r="G270" s="141"/>
      <c r="H270" s="141"/>
      <c r="I270" s="142"/>
      <c r="L270" s="159"/>
    </row>
    <row r="271" spans="1:19" s="61" customFormat="1" ht="27" customHeight="1">
      <c r="A271" s="45">
        <v>82</v>
      </c>
      <c r="B271" s="51" t="s">
        <v>98</v>
      </c>
      <c r="C271" s="46">
        <v>413352112</v>
      </c>
      <c r="D271" s="46" t="s">
        <v>224</v>
      </c>
      <c r="E271" s="46" t="s">
        <v>21</v>
      </c>
      <c r="F271" s="50">
        <f>F264</f>
        <v>116.31249999999999</v>
      </c>
      <c r="G271" s="11"/>
      <c r="H271" s="47">
        <f>F271*G271</f>
        <v>0</v>
      </c>
      <c r="I271" s="48" t="s">
        <v>183</v>
      </c>
      <c r="J271" s="60"/>
      <c r="K271" s="60"/>
      <c r="L271" s="97"/>
      <c r="M271" s="60"/>
      <c r="N271" s="60"/>
      <c r="O271" s="60"/>
      <c r="P271" s="60"/>
      <c r="Q271" s="60"/>
      <c r="R271" s="60"/>
      <c r="S271" s="60"/>
    </row>
    <row r="272" spans="1:19" s="61" customFormat="1" ht="13.5" customHeight="1">
      <c r="A272" s="45">
        <v>83</v>
      </c>
      <c r="B272" s="51" t="s">
        <v>98</v>
      </c>
      <c r="C272" s="46">
        <v>413351191</v>
      </c>
      <c r="D272" s="46" t="s">
        <v>411</v>
      </c>
      <c r="E272" s="46" t="s">
        <v>21</v>
      </c>
      <c r="F272" s="50">
        <f>F256</f>
        <v>456.67699999999996</v>
      </c>
      <c r="G272" s="11"/>
      <c r="H272" s="47">
        <f>F272*G272</f>
        <v>0</v>
      </c>
      <c r="I272" s="48" t="s">
        <v>183</v>
      </c>
      <c r="J272" s="60"/>
      <c r="K272" s="60"/>
      <c r="L272" s="97"/>
      <c r="M272" s="60"/>
      <c r="N272" s="60"/>
      <c r="O272" s="60"/>
      <c r="P272" s="60"/>
      <c r="Q272" s="60"/>
      <c r="R272" s="60"/>
      <c r="S272" s="60"/>
    </row>
    <row r="273" spans="1:19" s="61" customFormat="1" ht="13.5" customHeight="1">
      <c r="A273" s="45">
        <v>84</v>
      </c>
      <c r="B273" s="51" t="s">
        <v>98</v>
      </c>
      <c r="C273" s="46">
        <v>413361821</v>
      </c>
      <c r="D273" s="46" t="s">
        <v>204</v>
      </c>
      <c r="E273" s="46" t="s">
        <v>35</v>
      </c>
      <c r="F273" s="50">
        <f>SUM(F274:F275)</f>
        <v>14.423999999999998</v>
      </c>
      <c r="G273" s="11"/>
      <c r="H273" s="47">
        <f>F273*G273</f>
        <v>0</v>
      </c>
      <c r="I273" s="48" t="s">
        <v>183</v>
      </c>
      <c r="J273" s="162"/>
      <c r="K273" s="60"/>
      <c r="L273" s="97"/>
      <c r="M273" s="60"/>
      <c r="N273" s="60"/>
      <c r="O273" s="60"/>
      <c r="P273" s="60"/>
      <c r="Q273" s="60"/>
      <c r="R273" s="60"/>
      <c r="S273" s="60"/>
    </row>
    <row r="274" spans="1:19" s="139" customFormat="1" ht="27" customHeight="1">
      <c r="A274" s="140"/>
      <c r="B274" s="42"/>
      <c r="C274" s="42"/>
      <c r="D274" s="83" t="s">
        <v>520</v>
      </c>
      <c r="E274" s="42"/>
      <c r="F274" s="52">
        <f>((3+17.45+4.35+4.78)/1.05)*0.3</f>
        <v>8.4514285714285702</v>
      </c>
      <c r="G274" s="141"/>
      <c r="H274" s="141"/>
      <c r="I274" s="163"/>
      <c r="J274" s="164"/>
      <c r="K274" s="138"/>
      <c r="L274" s="159"/>
      <c r="M274" s="138"/>
      <c r="N274" s="138"/>
      <c r="O274" s="138"/>
      <c r="P274" s="138"/>
      <c r="Q274" s="138"/>
      <c r="R274" s="138"/>
      <c r="S274" s="138"/>
    </row>
    <row r="275" spans="1:19" s="139" customFormat="1" ht="27" customHeight="1">
      <c r="A275" s="140"/>
      <c r="B275" s="42"/>
      <c r="C275" s="42"/>
      <c r="D275" s="83" t="s">
        <v>536</v>
      </c>
      <c r="E275" s="42"/>
      <c r="F275" s="52">
        <f>((18.58+5.54)/1.05)*0.26</f>
        <v>5.9725714285714275</v>
      </c>
      <c r="G275" s="141"/>
      <c r="H275" s="141"/>
      <c r="I275" s="163"/>
      <c r="J275" s="164"/>
      <c r="K275" s="138"/>
      <c r="L275" s="159"/>
      <c r="M275" s="138"/>
      <c r="N275" s="138"/>
      <c r="O275" s="138"/>
      <c r="P275" s="138"/>
      <c r="Q275" s="138"/>
      <c r="R275" s="138"/>
      <c r="S275" s="138"/>
    </row>
    <row r="276" spans="1:19" s="139" customFormat="1" ht="13.5" customHeight="1">
      <c r="A276" s="45">
        <v>85</v>
      </c>
      <c r="B276" s="51" t="s">
        <v>98</v>
      </c>
      <c r="C276" s="46">
        <v>430321414</v>
      </c>
      <c r="D276" s="46" t="s">
        <v>426</v>
      </c>
      <c r="E276" s="46" t="s">
        <v>27</v>
      </c>
      <c r="F276" s="50">
        <f>SUM(F277:F279)</f>
        <v>13.940899999999999</v>
      </c>
      <c r="G276" s="11"/>
      <c r="H276" s="47">
        <f>F276*G276</f>
        <v>0</v>
      </c>
      <c r="I276" s="48" t="s">
        <v>183</v>
      </c>
      <c r="J276" s="164"/>
      <c r="K276" s="138"/>
      <c r="L276" s="159"/>
      <c r="M276" s="138"/>
      <c r="N276" s="138"/>
      <c r="O276" s="138"/>
      <c r="P276" s="138"/>
      <c r="Q276" s="138"/>
      <c r="R276" s="138"/>
      <c r="S276" s="138"/>
    </row>
    <row r="277" spans="1:19" s="139" customFormat="1" ht="13.5" customHeight="1">
      <c r="A277" s="140"/>
      <c r="B277" s="42"/>
      <c r="C277" s="42"/>
      <c r="D277" s="42" t="s">
        <v>280</v>
      </c>
      <c r="E277" s="42"/>
      <c r="F277" s="52">
        <f>((0.36+0.6+2.17+1.764)*2)*1.05</f>
        <v>10.2774</v>
      </c>
      <c r="G277" s="141"/>
      <c r="H277" s="141"/>
      <c r="I277" s="163"/>
      <c r="J277" s="165"/>
      <c r="K277" s="138"/>
      <c r="L277" s="159"/>
      <c r="M277" s="138"/>
      <c r="N277" s="138"/>
      <c r="O277" s="138"/>
      <c r="P277" s="138"/>
      <c r="Q277" s="138"/>
      <c r="R277" s="138"/>
      <c r="S277" s="138"/>
    </row>
    <row r="278" spans="1:19" s="139" customFormat="1" ht="13.5" customHeight="1">
      <c r="A278" s="140"/>
      <c r="B278" s="42"/>
      <c r="C278" s="42"/>
      <c r="D278" s="42" t="s">
        <v>353</v>
      </c>
      <c r="E278" s="42"/>
      <c r="F278" s="52">
        <f>(0.17+0.14+0.1)*1.05</f>
        <v>0.43050000000000005</v>
      </c>
      <c r="G278" s="141"/>
      <c r="H278" s="141"/>
      <c r="I278" s="163"/>
      <c r="J278" s="164"/>
      <c r="K278" s="138"/>
      <c r="L278" s="159"/>
      <c r="M278" s="138"/>
      <c r="N278" s="138"/>
      <c r="O278" s="138"/>
      <c r="P278" s="138"/>
      <c r="Q278" s="138"/>
      <c r="R278" s="138"/>
      <c r="S278" s="138"/>
    </row>
    <row r="279" spans="1:19" s="139" customFormat="1" ht="13.5" customHeight="1">
      <c r="A279" s="140"/>
      <c r="B279" s="42"/>
      <c r="C279" s="42"/>
      <c r="D279" s="42" t="s">
        <v>355</v>
      </c>
      <c r="E279" s="42"/>
      <c r="F279" s="52">
        <f>(0.41*2.65)*2+(0.025*2.65*8)*2</f>
        <v>3.2329999999999997</v>
      </c>
      <c r="G279" s="141"/>
      <c r="H279" s="141"/>
      <c r="I279" s="163"/>
      <c r="J279" s="164"/>
      <c r="K279" s="138"/>
      <c r="L279" s="159"/>
      <c r="M279" s="138"/>
      <c r="N279" s="138"/>
      <c r="O279" s="138"/>
      <c r="P279" s="138"/>
      <c r="Q279" s="138"/>
      <c r="R279" s="138"/>
      <c r="S279" s="138"/>
    </row>
    <row r="280" spans="1:19" s="139" customFormat="1" ht="13.5" customHeight="1">
      <c r="A280" s="45">
        <v>86</v>
      </c>
      <c r="B280" s="51" t="s">
        <v>98</v>
      </c>
      <c r="C280" s="46">
        <v>430361821</v>
      </c>
      <c r="D280" s="46" t="s">
        <v>284</v>
      </c>
      <c r="E280" s="46" t="s">
        <v>35</v>
      </c>
      <c r="F280" s="50">
        <f>SUM(F281:F282)</f>
        <v>2.247238095238095</v>
      </c>
      <c r="G280" s="11"/>
      <c r="H280" s="47">
        <f>F280*G280</f>
        <v>0</v>
      </c>
      <c r="I280" s="48" t="s">
        <v>183</v>
      </c>
      <c r="J280" s="164"/>
      <c r="K280" s="138"/>
      <c r="L280" s="159"/>
      <c r="M280" s="138"/>
      <c r="N280" s="138"/>
      <c r="O280" s="138"/>
      <c r="P280" s="138"/>
      <c r="Q280" s="138"/>
      <c r="R280" s="138"/>
      <c r="S280" s="138"/>
    </row>
    <row r="281" spans="1:19" s="139" customFormat="1" ht="27" customHeight="1">
      <c r="A281" s="140"/>
      <c r="B281" s="42"/>
      <c r="C281" s="42"/>
      <c r="D281" s="83" t="s">
        <v>427</v>
      </c>
      <c r="E281" s="42"/>
      <c r="F281" s="52">
        <f>((10.28+0.43)/1.05)*0.16</f>
        <v>1.6319999999999999</v>
      </c>
      <c r="G281" s="141"/>
      <c r="H281" s="141"/>
      <c r="I281" s="163"/>
      <c r="J281" s="164"/>
      <c r="K281" s="138"/>
      <c r="L281" s="159"/>
      <c r="M281" s="138"/>
      <c r="N281" s="138"/>
      <c r="O281" s="138"/>
      <c r="P281" s="138"/>
      <c r="Q281" s="138"/>
      <c r="R281" s="138"/>
      <c r="S281" s="138"/>
    </row>
    <row r="282" spans="1:19" s="139" customFormat="1" ht="27" customHeight="1">
      <c r="A282" s="140"/>
      <c r="B282" s="42"/>
      <c r="C282" s="42"/>
      <c r="D282" s="83" t="s">
        <v>428</v>
      </c>
      <c r="E282" s="42"/>
      <c r="F282" s="52">
        <f>(3.23/1.05)*0.2</f>
        <v>0.61523809523809525</v>
      </c>
      <c r="G282" s="141"/>
      <c r="H282" s="141"/>
      <c r="I282" s="163"/>
      <c r="J282" s="164"/>
      <c r="K282" s="138"/>
      <c r="L282" s="159"/>
      <c r="M282" s="138"/>
      <c r="N282" s="138"/>
      <c r="O282" s="138"/>
      <c r="P282" s="138"/>
      <c r="Q282" s="138"/>
      <c r="R282" s="138"/>
      <c r="S282" s="138"/>
    </row>
    <row r="283" spans="1:19" s="139" customFormat="1" ht="13.5" customHeight="1">
      <c r="A283" s="45">
        <v>87</v>
      </c>
      <c r="B283" s="51" t="s">
        <v>98</v>
      </c>
      <c r="C283" s="46">
        <v>431351121</v>
      </c>
      <c r="D283" s="46" t="s">
        <v>285</v>
      </c>
      <c r="E283" s="46" t="s">
        <v>21</v>
      </c>
      <c r="F283" s="50">
        <f>SUM(F284:F286)</f>
        <v>19.817999999999998</v>
      </c>
      <c r="G283" s="11"/>
      <c r="H283" s="47">
        <f>F283*G283</f>
        <v>0</v>
      </c>
      <c r="I283" s="48" t="s">
        <v>183</v>
      </c>
      <c r="J283" s="164"/>
      <c r="K283" s="138"/>
      <c r="L283" s="159"/>
      <c r="M283" s="138"/>
      <c r="N283" s="138"/>
      <c r="O283" s="138"/>
      <c r="P283" s="138"/>
      <c r="Q283" s="138"/>
      <c r="R283" s="138"/>
      <c r="S283" s="138"/>
    </row>
    <row r="284" spans="1:19" s="139" customFormat="1" ht="13.5" customHeight="1">
      <c r="A284" s="140"/>
      <c r="B284" s="42"/>
      <c r="C284" s="42"/>
      <c r="D284" s="42" t="s">
        <v>286</v>
      </c>
      <c r="E284" s="42"/>
      <c r="F284" s="52">
        <f>(0.93+3.01+1+2.562)*2</f>
        <v>15.003999999999998</v>
      </c>
      <c r="G284" s="141"/>
      <c r="H284" s="141"/>
      <c r="I284" s="163"/>
      <c r="J284" s="164"/>
      <c r="K284" s="138"/>
      <c r="L284" s="159"/>
      <c r="M284" s="138"/>
      <c r="N284" s="138"/>
      <c r="O284" s="138"/>
      <c r="P284" s="138"/>
      <c r="Q284" s="138"/>
      <c r="R284" s="138"/>
      <c r="S284" s="138"/>
    </row>
    <row r="285" spans="1:19" s="139" customFormat="1" ht="13.5" customHeight="1">
      <c r="A285" s="140"/>
      <c r="B285" s="42"/>
      <c r="C285" s="42"/>
      <c r="D285" s="42" t="s">
        <v>354</v>
      </c>
      <c r="E285" s="42"/>
      <c r="F285" s="52">
        <f>(0.77+0.82+0.784)</f>
        <v>2.3739999999999997</v>
      </c>
      <c r="G285" s="141"/>
      <c r="H285" s="141"/>
      <c r="I285" s="163"/>
      <c r="J285" s="164"/>
      <c r="K285" s="138"/>
      <c r="L285" s="159"/>
      <c r="M285" s="138"/>
      <c r="N285" s="138"/>
      <c r="O285" s="138"/>
      <c r="P285" s="138"/>
      <c r="Q285" s="138"/>
      <c r="R285" s="138"/>
      <c r="S285" s="138"/>
    </row>
    <row r="286" spans="1:19" s="139" customFormat="1" ht="13.5" customHeight="1">
      <c r="A286" s="140"/>
      <c r="B286" s="42"/>
      <c r="C286" s="42"/>
      <c r="D286" s="42" t="s">
        <v>356</v>
      </c>
      <c r="E286" s="42"/>
      <c r="F286" s="52">
        <f>(0.41*2+0.025*2*8)*2</f>
        <v>2.44</v>
      </c>
      <c r="G286" s="141"/>
      <c r="H286" s="141"/>
      <c r="I286" s="163"/>
      <c r="J286" s="164"/>
      <c r="K286" s="138"/>
      <c r="L286" s="159"/>
      <c r="M286" s="138"/>
      <c r="N286" s="138"/>
      <c r="O286" s="138"/>
      <c r="P286" s="138"/>
      <c r="Q286" s="138"/>
      <c r="R286" s="138"/>
      <c r="S286" s="138"/>
    </row>
    <row r="287" spans="1:19" s="139" customFormat="1" ht="13.5" customHeight="1">
      <c r="A287" s="45">
        <v>88</v>
      </c>
      <c r="B287" s="51" t="s">
        <v>98</v>
      </c>
      <c r="C287" s="46">
        <v>431351122</v>
      </c>
      <c r="D287" s="46" t="s">
        <v>287</v>
      </c>
      <c r="E287" s="46" t="s">
        <v>21</v>
      </c>
      <c r="F287" s="50">
        <f>SUM(F283)</f>
        <v>19.817999999999998</v>
      </c>
      <c r="G287" s="11"/>
      <c r="H287" s="47">
        <f>F287*G287</f>
        <v>0</v>
      </c>
      <c r="I287" s="48" t="s">
        <v>183</v>
      </c>
      <c r="J287" s="164"/>
      <c r="K287" s="138"/>
      <c r="L287" s="159"/>
      <c r="M287" s="138"/>
      <c r="N287" s="138"/>
      <c r="O287" s="138"/>
      <c r="P287" s="138"/>
      <c r="Q287" s="138"/>
      <c r="R287" s="138"/>
      <c r="S287" s="138"/>
    </row>
    <row r="288" spans="1:19" s="139" customFormat="1" ht="13.5" customHeight="1">
      <c r="A288" s="45">
        <v>89</v>
      </c>
      <c r="B288" s="51" t="s">
        <v>98</v>
      </c>
      <c r="C288" s="46" t="s">
        <v>558</v>
      </c>
      <c r="D288" s="46" t="s">
        <v>689</v>
      </c>
      <c r="E288" s="46" t="s">
        <v>21</v>
      </c>
      <c r="F288" s="50">
        <f>SUM(F289)</f>
        <v>3.5839999999999996</v>
      </c>
      <c r="G288" s="11"/>
      <c r="H288" s="47">
        <f>F288*G288</f>
        <v>0</v>
      </c>
      <c r="I288" s="48" t="s">
        <v>259</v>
      </c>
      <c r="J288" s="164"/>
      <c r="K288" s="138"/>
      <c r="L288" s="159"/>
      <c r="M288" s="138"/>
      <c r="N288" s="138"/>
      <c r="O288" s="138"/>
      <c r="P288" s="138"/>
      <c r="Q288" s="138"/>
      <c r="R288" s="138"/>
      <c r="S288" s="138"/>
    </row>
    <row r="289" spans="1:19" s="139" customFormat="1" ht="13.5" customHeight="1">
      <c r="A289" s="140"/>
      <c r="B289" s="42"/>
      <c r="C289" s="42"/>
      <c r="D289" s="42" t="s">
        <v>542</v>
      </c>
      <c r="E289" s="42"/>
      <c r="F289" s="52">
        <f>1.4*2.56</f>
        <v>3.5839999999999996</v>
      </c>
      <c r="G289" s="141"/>
      <c r="H289" s="141"/>
      <c r="I289" s="163"/>
      <c r="J289" s="164"/>
      <c r="K289" s="138"/>
      <c r="L289" s="159"/>
      <c r="M289" s="138"/>
      <c r="N289" s="138"/>
      <c r="O289" s="138"/>
      <c r="P289" s="138"/>
      <c r="Q289" s="138"/>
      <c r="R289" s="138"/>
      <c r="S289" s="138"/>
    </row>
    <row r="290" spans="1:19" s="153" customFormat="1" ht="27" customHeight="1">
      <c r="A290" s="45">
        <v>90</v>
      </c>
      <c r="B290" s="51" t="s">
        <v>98</v>
      </c>
      <c r="C290" s="46" t="s">
        <v>288</v>
      </c>
      <c r="D290" s="46" t="s">
        <v>289</v>
      </c>
      <c r="E290" s="46" t="s">
        <v>67</v>
      </c>
      <c r="F290" s="50">
        <f>SUM(F291)</f>
        <v>41.33</v>
      </c>
      <c r="G290" s="11"/>
      <c r="H290" s="47">
        <f>F290*G290</f>
        <v>0</v>
      </c>
      <c r="I290" s="48" t="s">
        <v>183</v>
      </c>
      <c r="J290" s="84"/>
      <c r="K290" s="84"/>
      <c r="L290" s="84"/>
      <c r="M290" s="84"/>
      <c r="N290" s="84"/>
      <c r="O290" s="84"/>
      <c r="P290" s="84"/>
      <c r="Q290" s="84"/>
      <c r="R290" s="84"/>
      <c r="S290" s="84"/>
    </row>
    <row r="291" spans="1:19" s="153" customFormat="1" ht="27" customHeight="1">
      <c r="A291" s="45"/>
      <c r="B291" s="51"/>
      <c r="C291" s="46"/>
      <c r="D291" s="42" t="s">
        <v>358</v>
      </c>
      <c r="E291" s="46"/>
      <c r="F291" s="52">
        <f>1.45*23+2.66*3</f>
        <v>41.33</v>
      </c>
      <c r="G291" s="47"/>
      <c r="H291" s="47"/>
      <c r="I291" s="53"/>
      <c r="J291" s="149"/>
      <c r="K291" s="84"/>
      <c r="L291" s="84"/>
      <c r="M291" s="84"/>
      <c r="N291" s="84"/>
      <c r="O291" s="84"/>
      <c r="P291" s="84"/>
      <c r="Q291" s="84"/>
      <c r="R291" s="84"/>
      <c r="S291" s="84"/>
    </row>
    <row r="292" spans="1:19" s="153" customFormat="1" ht="13.5" customHeight="1">
      <c r="A292" s="45"/>
      <c r="B292" s="51"/>
      <c r="C292" s="46"/>
      <c r="D292" s="42" t="s">
        <v>297</v>
      </c>
      <c r="E292" s="46"/>
      <c r="F292" s="52"/>
      <c r="G292" s="47"/>
      <c r="H292" s="47"/>
      <c r="I292" s="53"/>
      <c r="J292" s="84"/>
      <c r="K292" s="84"/>
      <c r="L292" s="84"/>
      <c r="M292" s="84"/>
      <c r="N292" s="84"/>
      <c r="O292" s="84"/>
      <c r="P292" s="84"/>
      <c r="Q292" s="84"/>
      <c r="R292" s="84"/>
      <c r="S292" s="84"/>
    </row>
    <row r="293" spans="1:19" s="153" customFormat="1" ht="13.5" customHeight="1">
      <c r="A293" s="99">
        <v>91</v>
      </c>
      <c r="B293" s="166" t="s">
        <v>290</v>
      </c>
      <c r="C293" s="100" t="s">
        <v>298</v>
      </c>
      <c r="D293" s="100" t="s">
        <v>359</v>
      </c>
      <c r="E293" s="100" t="s">
        <v>67</v>
      </c>
      <c r="F293" s="123">
        <f>SUM(F290)</f>
        <v>41.33</v>
      </c>
      <c r="G293" s="41"/>
      <c r="H293" s="102">
        <f>F293*G293</f>
        <v>0</v>
      </c>
      <c r="I293" s="103" t="s">
        <v>259</v>
      </c>
      <c r="J293" s="84"/>
      <c r="K293" s="84"/>
      <c r="L293" s="84"/>
      <c r="M293" s="84"/>
      <c r="N293" s="84"/>
      <c r="O293" s="84"/>
      <c r="P293" s="84"/>
      <c r="Q293" s="84"/>
      <c r="R293" s="84"/>
      <c r="S293" s="84"/>
    </row>
    <row r="294" spans="1:19" s="153" customFormat="1" ht="13.5" customHeight="1">
      <c r="A294" s="99"/>
      <c r="B294" s="166"/>
      <c r="C294" s="100"/>
      <c r="D294" s="106" t="s">
        <v>267</v>
      </c>
      <c r="E294" s="100"/>
      <c r="F294" s="129"/>
      <c r="G294" s="102"/>
      <c r="H294" s="102"/>
      <c r="I294" s="167"/>
      <c r="J294" s="84"/>
      <c r="K294" s="84"/>
      <c r="L294" s="84"/>
      <c r="M294" s="84"/>
      <c r="N294" s="84"/>
      <c r="O294" s="84"/>
      <c r="P294" s="84"/>
      <c r="Q294" s="84"/>
      <c r="R294" s="84"/>
      <c r="S294" s="84"/>
    </row>
    <row r="295" spans="1:19" s="61" customFormat="1" ht="13.5" customHeight="1">
      <c r="A295" s="45">
        <v>92</v>
      </c>
      <c r="B295" s="46">
        <v>211</v>
      </c>
      <c r="C295" s="46">
        <v>451315114</v>
      </c>
      <c r="D295" s="46" t="s">
        <v>360</v>
      </c>
      <c r="E295" s="46" t="s">
        <v>21</v>
      </c>
      <c r="F295" s="50">
        <f>SUM(F296)</f>
        <v>594.46450000000004</v>
      </c>
      <c r="G295" s="11"/>
      <c r="H295" s="47">
        <f>F295*G295</f>
        <v>0</v>
      </c>
      <c r="I295" s="48" t="s">
        <v>183</v>
      </c>
      <c r="J295" s="81"/>
      <c r="K295" s="60"/>
      <c r="L295" s="60"/>
      <c r="M295" s="60"/>
      <c r="N295" s="60"/>
      <c r="O295" s="60"/>
      <c r="P295" s="60"/>
      <c r="Q295" s="60"/>
      <c r="R295" s="60"/>
      <c r="S295" s="60"/>
    </row>
    <row r="296" spans="1:19" s="153" customFormat="1" ht="13.5" customHeight="1">
      <c r="A296" s="45"/>
      <c r="B296" s="51"/>
      <c r="C296" s="46"/>
      <c r="D296" s="42" t="s">
        <v>552</v>
      </c>
      <c r="E296" s="46"/>
      <c r="F296" s="52">
        <f>(129.6+11.45+14.85+421.25)*1.03</f>
        <v>594.46450000000004</v>
      </c>
      <c r="G296" s="47"/>
      <c r="H296" s="47"/>
      <c r="I296" s="53"/>
      <c r="J296" s="84"/>
      <c r="K296" s="84"/>
      <c r="L296" s="84"/>
      <c r="M296" s="84"/>
      <c r="N296" s="84"/>
      <c r="O296" s="84"/>
      <c r="P296" s="84"/>
      <c r="Q296" s="84"/>
      <c r="R296" s="84"/>
      <c r="S296" s="84"/>
    </row>
    <row r="297" spans="1:19" s="168" customFormat="1" ht="13.5" customHeight="1">
      <c r="A297" s="45">
        <v>93</v>
      </c>
      <c r="B297" s="46">
        <v>451</v>
      </c>
      <c r="C297" s="46" t="s">
        <v>379</v>
      </c>
      <c r="D297" s="46" t="s">
        <v>164</v>
      </c>
      <c r="E297" s="46" t="s">
        <v>60</v>
      </c>
      <c r="F297" s="50">
        <v>10</v>
      </c>
      <c r="G297" s="11"/>
      <c r="H297" s="47">
        <f>F297*G297</f>
        <v>0</v>
      </c>
      <c r="I297" s="48" t="s">
        <v>192</v>
      </c>
      <c r="J297" s="136"/>
      <c r="K297" s="136"/>
      <c r="L297" s="136"/>
      <c r="M297" s="136"/>
      <c r="N297" s="136"/>
      <c r="O297" s="136"/>
      <c r="P297" s="136"/>
      <c r="Q297" s="136"/>
      <c r="R297" s="136"/>
      <c r="S297" s="136"/>
    </row>
    <row r="298" spans="1:19" s="168" customFormat="1" ht="13.5" customHeight="1">
      <c r="A298" s="45">
        <v>94</v>
      </c>
      <c r="B298" s="46">
        <v>451</v>
      </c>
      <c r="C298" s="46" t="s">
        <v>687</v>
      </c>
      <c r="D298" s="46" t="s">
        <v>688</v>
      </c>
      <c r="E298" s="46" t="s">
        <v>60</v>
      </c>
      <c r="F298" s="50">
        <v>20</v>
      </c>
      <c r="G298" s="11"/>
      <c r="H298" s="47">
        <f>F298*G298</f>
        <v>0</v>
      </c>
      <c r="I298" s="48" t="s">
        <v>192</v>
      </c>
      <c r="J298" s="136"/>
      <c r="K298" s="136"/>
      <c r="L298" s="136"/>
      <c r="M298" s="136"/>
      <c r="N298" s="136"/>
      <c r="O298" s="136"/>
      <c r="P298" s="136"/>
      <c r="Q298" s="136"/>
      <c r="R298" s="136"/>
      <c r="S298" s="136"/>
    </row>
    <row r="299" spans="1:19" s="136" customFormat="1" ht="13.5" customHeight="1">
      <c r="A299" s="49"/>
      <c r="B299" s="118"/>
      <c r="C299" s="118" t="s">
        <v>14</v>
      </c>
      <c r="D299" s="118" t="s">
        <v>97</v>
      </c>
      <c r="E299" s="118"/>
      <c r="F299" s="119"/>
      <c r="G299" s="120"/>
      <c r="H299" s="169">
        <f>SUM(H300:H321)</f>
        <v>0</v>
      </c>
      <c r="I299" s="170"/>
    </row>
    <row r="300" spans="1:19" s="136" customFormat="1" ht="13.5" customHeight="1">
      <c r="A300" s="45">
        <v>95</v>
      </c>
      <c r="B300" s="51" t="s">
        <v>98</v>
      </c>
      <c r="C300" s="46">
        <v>612131111</v>
      </c>
      <c r="D300" s="46" t="s">
        <v>676</v>
      </c>
      <c r="E300" s="46" t="s">
        <v>21</v>
      </c>
      <c r="F300" s="143">
        <f>SUM(F301:F301)</f>
        <v>44.28</v>
      </c>
      <c r="G300" s="11"/>
      <c r="H300" s="47">
        <f>F300*G300</f>
        <v>0</v>
      </c>
      <c r="I300" s="48" t="s">
        <v>183</v>
      </c>
    </row>
    <row r="301" spans="1:19" s="136" customFormat="1" ht="27" customHeight="1">
      <c r="A301" s="49"/>
      <c r="B301" s="118"/>
      <c r="C301" s="118"/>
      <c r="D301" s="42" t="s">
        <v>669</v>
      </c>
      <c r="E301" s="46"/>
      <c r="F301" s="52">
        <f>1.2*(7.4*2)+0.6*44.2</f>
        <v>44.28</v>
      </c>
      <c r="G301" s="120"/>
      <c r="H301" s="120"/>
      <c r="I301" s="121"/>
    </row>
    <row r="302" spans="1:19" s="136" customFormat="1" ht="13.5" customHeight="1">
      <c r="A302" s="45">
        <v>96</v>
      </c>
      <c r="B302" s="51" t="s">
        <v>98</v>
      </c>
      <c r="C302" s="46">
        <v>612181001</v>
      </c>
      <c r="D302" s="46" t="s">
        <v>677</v>
      </c>
      <c r="E302" s="46" t="s">
        <v>21</v>
      </c>
      <c r="F302" s="143">
        <f>SUM(F304:F304)</f>
        <v>44.28</v>
      </c>
      <c r="G302" s="11"/>
      <c r="H302" s="47">
        <f>F302*G302</f>
        <v>0</v>
      </c>
      <c r="I302" s="48" t="s">
        <v>183</v>
      </c>
    </row>
    <row r="303" spans="1:19" s="136" customFormat="1" ht="13.5" customHeight="1">
      <c r="A303" s="49"/>
      <c r="B303" s="118"/>
      <c r="C303" s="118"/>
      <c r="D303" s="42" t="s">
        <v>666</v>
      </c>
      <c r="E303" s="46"/>
      <c r="F303" s="52"/>
      <c r="G303" s="120"/>
      <c r="H303" s="120"/>
      <c r="I303" s="121"/>
    </row>
    <row r="304" spans="1:19" s="136" customFormat="1" ht="27" customHeight="1">
      <c r="A304" s="49"/>
      <c r="B304" s="118"/>
      <c r="C304" s="118"/>
      <c r="D304" s="42" t="s">
        <v>669</v>
      </c>
      <c r="E304" s="46"/>
      <c r="F304" s="52">
        <f>1.2*(7.4*2)+0.6*44.2</f>
        <v>44.28</v>
      </c>
      <c r="G304" s="120"/>
      <c r="H304" s="120"/>
      <c r="I304" s="121"/>
    </row>
    <row r="305" spans="1:19" s="136" customFormat="1" ht="13.5" customHeight="1">
      <c r="A305" s="45">
        <v>97</v>
      </c>
      <c r="B305" s="51" t="s">
        <v>98</v>
      </c>
      <c r="C305" s="46">
        <v>613131111</v>
      </c>
      <c r="D305" s="46" t="s">
        <v>667</v>
      </c>
      <c r="E305" s="46" t="s">
        <v>21</v>
      </c>
      <c r="F305" s="143">
        <f>SUM(F306:F307)</f>
        <v>180.44</v>
      </c>
      <c r="G305" s="11"/>
      <c r="H305" s="47">
        <f>F305*G305</f>
        <v>0</v>
      </c>
      <c r="I305" s="48" t="s">
        <v>183</v>
      </c>
    </row>
    <row r="306" spans="1:19" s="136" customFormat="1" ht="13.5" customHeight="1">
      <c r="A306" s="49"/>
      <c r="B306" s="118"/>
      <c r="C306" s="118"/>
      <c r="D306" s="42" t="s">
        <v>671</v>
      </c>
      <c r="E306" s="46"/>
      <c r="F306" s="52">
        <f>97.28</f>
        <v>97.28</v>
      </c>
      <c r="G306" s="120"/>
      <c r="H306" s="120"/>
      <c r="I306" s="121"/>
    </row>
    <row r="307" spans="1:19" s="136" customFormat="1" ht="13.5" customHeight="1">
      <c r="A307" s="49"/>
      <c r="B307" s="118"/>
      <c r="C307" s="118"/>
      <c r="D307" s="42" t="s">
        <v>674</v>
      </c>
      <c r="E307" s="46"/>
      <c r="F307" s="52">
        <f>83.16</f>
        <v>83.16</v>
      </c>
      <c r="G307" s="120"/>
      <c r="H307" s="120"/>
      <c r="I307" s="121"/>
    </row>
    <row r="308" spans="1:19" s="136" customFormat="1" ht="13.5" customHeight="1">
      <c r="A308" s="45">
        <v>98</v>
      </c>
      <c r="B308" s="51" t="s">
        <v>98</v>
      </c>
      <c r="C308" s="46">
        <v>613181001</v>
      </c>
      <c r="D308" s="46" t="s">
        <v>665</v>
      </c>
      <c r="E308" s="46" t="s">
        <v>21</v>
      </c>
      <c r="F308" s="143">
        <f>SUM(F310:F311)</f>
        <v>180.44</v>
      </c>
      <c r="G308" s="11"/>
      <c r="H308" s="47">
        <f>F308*G308</f>
        <v>0</v>
      </c>
      <c r="I308" s="48" t="s">
        <v>183</v>
      </c>
    </row>
    <row r="309" spans="1:19" s="136" customFormat="1" ht="13.5" customHeight="1">
      <c r="A309" s="49"/>
      <c r="B309" s="118"/>
      <c r="C309" s="118"/>
      <c r="D309" s="42" t="s">
        <v>666</v>
      </c>
      <c r="E309" s="46"/>
      <c r="F309" s="52"/>
      <c r="G309" s="120"/>
      <c r="H309" s="120"/>
      <c r="I309" s="121"/>
    </row>
    <row r="310" spans="1:19" s="136" customFormat="1" ht="13.5" customHeight="1">
      <c r="A310" s="49"/>
      <c r="B310" s="118"/>
      <c r="C310" s="118"/>
      <c r="D310" s="42" t="s">
        <v>672</v>
      </c>
      <c r="E310" s="46"/>
      <c r="F310" s="52">
        <f>97.28</f>
        <v>97.28</v>
      </c>
      <c r="G310" s="120"/>
      <c r="H310" s="120"/>
      <c r="I310" s="121"/>
    </row>
    <row r="311" spans="1:19" s="136" customFormat="1" ht="13.5" customHeight="1">
      <c r="A311" s="49"/>
      <c r="B311" s="118"/>
      <c r="C311" s="118"/>
      <c r="D311" s="42" t="s">
        <v>673</v>
      </c>
      <c r="E311" s="46"/>
      <c r="F311" s="52">
        <f>83.16</f>
        <v>83.16</v>
      </c>
      <c r="G311" s="120"/>
      <c r="H311" s="120"/>
      <c r="I311" s="121"/>
    </row>
    <row r="312" spans="1:19" s="168" customFormat="1" ht="13.5" customHeight="1">
      <c r="A312" s="45">
        <v>99</v>
      </c>
      <c r="B312" s="51" t="s">
        <v>291</v>
      </c>
      <c r="C312" s="46">
        <v>619996135</v>
      </c>
      <c r="D312" s="46" t="s">
        <v>293</v>
      </c>
      <c r="E312" s="46" t="s">
        <v>21</v>
      </c>
      <c r="F312" s="143">
        <f>F313</f>
        <v>221.19499999999999</v>
      </c>
      <c r="G312" s="11"/>
      <c r="H312" s="47">
        <f>F312*G312</f>
        <v>0</v>
      </c>
      <c r="I312" s="48" t="s">
        <v>183</v>
      </c>
      <c r="J312" s="171"/>
      <c r="K312" s="136"/>
      <c r="L312" s="136"/>
      <c r="M312" s="136"/>
      <c r="N312" s="136"/>
      <c r="O312" s="136"/>
      <c r="P312" s="136"/>
      <c r="Q312" s="136"/>
      <c r="R312" s="136"/>
      <c r="S312" s="136"/>
    </row>
    <row r="313" spans="1:19" s="168" customFormat="1" ht="13.5" customHeight="1">
      <c r="A313" s="45"/>
      <c r="B313" s="46"/>
      <c r="C313" s="46"/>
      <c r="D313" s="42" t="s">
        <v>490</v>
      </c>
      <c r="E313" s="46"/>
      <c r="F313" s="52">
        <f>8.3*26.65</f>
        <v>221.19499999999999</v>
      </c>
      <c r="G313" s="47"/>
      <c r="H313" s="47"/>
      <c r="I313" s="48"/>
      <c r="J313" s="136"/>
      <c r="K313" s="136"/>
      <c r="L313" s="136"/>
      <c r="M313" s="136"/>
      <c r="N313" s="136"/>
      <c r="O313" s="136"/>
      <c r="P313" s="136"/>
      <c r="Q313" s="136"/>
      <c r="R313" s="136"/>
      <c r="S313" s="136"/>
    </row>
    <row r="314" spans="1:19" s="168" customFormat="1" ht="13.5" customHeight="1">
      <c r="A314" s="45"/>
      <c r="B314" s="46"/>
      <c r="C314" s="46"/>
      <c r="D314" s="42" t="s">
        <v>292</v>
      </c>
      <c r="E314" s="46"/>
      <c r="F314" s="52"/>
      <c r="G314" s="47"/>
      <c r="H314" s="47"/>
      <c r="I314" s="48"/>
      <c r="J314" s="136"/>
      <c r="K314" s="136"/>
      <c r="L314" s="136"/>
      <c r="M314" s="136"/>
      <c r="N314" s="136"/>
      <c r="O314" s="136"/>
      <c r="P314" s="136"/>
      <c r="Q314" s="136"/>
      <c r="R314" s="136"/>
      <c r="S314" s="136"/>
    </row>
    <row r="315" spans="1:19" s="168" customFormat="1" ht="13.5" customHeight="1">
      <c r="A315" s="45">
        <v>100</v>
      </c>
      <c r="B315" s="51" t="s">
        <v>334</v>
      </c>
      <c r="C315" s="46" t="s">
        <v>335</v>
      </c>
      <c r="D315" s="46" t="s">
        <v>336</v>
      </c>
      <c r="E315" s="46" t="s">
        <v>21</v>
      </c>
      <c r="F315" s="50">
        <f>SUM(F316:F319)</f>
        <v>167.26999999999998</v>
      </c>
      <c r="G315" s="11"/>
      <c r="H315" s="47">
        <f>F315*G315</f>
        <v>0</v>
      </c>
      <c r="I315" s="48" t="s">
        <v>192</v>
      </c>
      <c r="J315" s="60"/>
      <c r="K315" s="136"/>
      <c r="L315" s="136"/>
      <c r="M315" s="136"/>
      <c r="N315" s="136"/>
      <c r="O315" s="136"/>
      <c r="P315" s="136"/>
      <c r="Q315" s="136"/>
      <c r="R315" s="136"/>
      <c r="S315" s="136"/>
    </row>
    <row r="316" spans="1:19" s="168" customFormat="1" ht="13.5" customHeight="1">
      <c r="A316" s="82"/>
      <c r="B316" s="51"/>
      <c r="C316" s="46"/>
      <c r="D316" s="42" t="s">
        <v>387</v>
      </c>
      <c r="E316" s="46"/>
      <c r="F316" s="52">
        <f>(18.74+18.47)</f>
        <v>37.209999999999994</v>
      </c>
      <c r="G316" s="47"/>
      <c r="H316" s="47"/>
      <c r="I316" s="48"/>
      <c r="J316" s="60"/>
      <c r="K316" s="136"/>
      <c r="L316" s="136"/>
      <c r="M316" s="136"/>
      <c r="N316" s="136"/>
      <c r="O316" s="136"/>
      <c r="P316" s="136"/>
      <c r="Q316" s="136"/>
      <c r="R316" s="136"/>
      <c r="S316" s="136"/>
    </row>
    <row r="317" spans="1:19" s="168" customFormat="1" ht="13.5" customHeight="1">
      <c r="A317" s="82"/>
      <c r="B317" s="51"/>
      <c r="C317" s="46"/>
      <c r="D317" s="42" t="s">
        <v>363</v>
      </c>
      <c r="E317" s="46"/>
      <c r="F317" s="52">
        <f>(1.3+1.29+0.99)</f>
        <v>3.58</v>
      </c>
      <c r="G317" s="47"/>
      <c r="H317" s="47"/>
      <c r="I317" s="48"/>
      <c r="J317" s="60"/>
      <c r="K317" s="136"/>
      <c r="L317" s="136"/>
      <c r="M317" s="136"/>
      <c r="N317" s="136"/>
      <c r="O317" s="136"/>
      <c r="P317" s="136"/>
      <c r="Q317" s="136"/>
      <c r="R317" s="136"/>
      <c r="S317" s="136"/>
    </row>
    <row r="318" spans="1:19" s="168" customFormat="1" ht="13.5" customHeight="1">
      <c r="A318" s="82"/>
      <c r="B318" s="51"/>
      <c r="C318" s="46"/>
      <c r="D318" s="42" t="s">
        <v>475</v>
      </c>
      <c r="E318" s="46"/>
      <c r="F318" s="52">
        <f>51+52.38</f>
        <v>103.38</v>
      </c>
      <c r="G318" s="47"/>
      <c r="H318" s="47"/>
      <c r="I318" s="48"/>
      <c r="J318" s="60"/>
      <c r="K318" s="136"/>
      <c r="L318" s="136"/>
      <c r="M318" s="136"/>
      <c r="N318" s="136"/>
      <c r="O318" s="136"/>
      <c r="P318" s="136"/>
      <c r="Q318" s="136"/>
      <c r="R318" s="136"/>
      <c r="S318" s="136"/>
    </row>
    <row r="319" spans="1:19" s="168" customFormat="1" ht="13.5" customHeight="1">
      <c r="A319" s="82"/>
      <c r="B319" s="51"/>
      <c r="C319" s="46"/>
      <c r="D319" s="42" t="s">
        <v>477</v>
      </c>
      <c r="E319" s="46"/>
      <c r="F319" s="52">
        <f>(9.78+1.77)*2</f>
        <v>23.099999999999998</v>
      </c>
      <c r="G319" s="47"/>
      <c r="H319" s="47"/>
      <c r="I319" s="48"/>
      <c r="J319" s="60"/>
      <c r="K319" s="136"/>
      <c r="L319" s="136"/>
      <c r="M319" s="136"/>
      <c r="N319" s="136"/>
      <c r="O319" s="136"/>
      <c r="P319" s="136"/>
      <c r="Q319" s="136"/>
      <c r="R319" s="136"/>
      <c r="S319" s="136"/>
    </row>
    <row r="320" spans="1:19" s="136" customFormat="1" ht="13.5" customHeight="1">
      <c r="A320" s="172">
        <v>101</v>
      </c>
      <c r="B320" s="51" t="s">
        <v>98</v>
      </c>
      <c r="C320" s="46">
        <v>632481213</v>
      </c>
      <c r="D320" s="46" t="s">
        <v>154</v>
      </c>
      <c r="E320" s="46" t="s">
        <v>21</v>
      </c>
      <c r="F320" s="143">
        <f>F321</f>
        <v>42.791499999999992</v>
      </c>
      <c r="G320" s="11"/>
      <c r="H320" s="47">
        <f>F320*G320</f>
        <v>0</v>
      </c>
      <c r="I320" s="48" t="s">
        <v>183</v>
      </c>
    </row>
    <row r="321" spans="1:20" s="136" customFormat="1" ht="13.5" customHeight="1">
      <c r="A321" s="172"/>
      <c r="B321" s="46"/>
      <c r="C321" s="46"/>
      <c r="D321" s="42" t="s">
        <v>388</v>
      </c>
      <c r="E321" s="46"/>
      <c r="F321" s="52">
        <f>(18.74+18.47)*1.15</f>
        <v>42.791499999999992</v>
      </c>
      <c r="G321" s="46"/>
      <c r="H321" s="46"/>
      <c r="I321" s="46"/>
    </row>
    <row r="322" spans="1:20" s="61" customFormat="1" ht="13.5" customHeight="1">
      <c r="A322" s="70"/>
      <c r="B322" s="71"/>
      <c r="C322" s="71" t="s">
        <v>72</v>
      </c>
      <c r="D322" s="71" t="s">
        <v>73</v>
      </c>
      <c r="E322" s="71"/>
      <c r="F322" s="173"/>
      <c r="G322" s="73"/>
      <c r="H322" s="73">
        <f>SUM(H323:H372,H378)</f>
        <v>0</v>
      </c>
      <c r="I322" s="174"/>
      <c r="J322" s="175"/>
      <c r="K322" s="176"/>
      <c r="L322" s="177"/>
      <c r="M322" s="178"/>
      <c r="N322" s="178"/>
      <c r="O322" s="179"/>
      <c r="P322" s="178"/>
      <c r="Q322" s="180"/>
      <c r="R322" s="181"/>
      <c r="S322" s="182"/>
      <c r="T322" s="60"/>
    </row>
    <row r="323" spans="1:20" s="168" customFormat="1" ht="13.5" customHeight="1">
      <c r="A323" s="49">
        <v>102</v>
      </c>
      <c r="B323" s="51" t="s">
        <v>412</v>
      </c>
      <c r="C323" s="46">
        <v>931992111</v>
      </c>
      <c r="D323" s="54" t="s">
        <v>658</v>
      </c>
      <c r="E323" s="46" t="s">
        <v>21</v>
      </c>
      <c r="F323" s="50">
        <f>SUM(F324:F327)</f>
        <v>23.199000000000002</v>
      </c>
      <c r="G323" s="11"/>
      <c r="H323" s="47">
        <f>F323*G323</f>
        <v>0</v>
      </c>
      <c r="I323" s="48" t="s">
        <v>183</v>
      </c>
      <c r="J323" s="81"/>
      <c r="K323" s="136"/>
      <c r="L323" s="136"/>
      <c r="M323" s="136"/>
      <c r="N323" s="136"/>
      <c r="O323" s="136"/>
      <c r="P323" s="136"/>
      <c r="Q323" s="136"/>
      <c r="R323" s="136"/>
      <c r="S323" s="136"/>
    </row>
    <row r="324" spans="1:20" s="168" customFormat="1" ht="13.5" customHeight="1">
      <c r="A324" s="49"/>
      <c r="B324" s="51"/>
      <c r="C324" s="46"/>
      <c r="D324" s="42" t="s">
        <v>380</v>
      </c>
      <c r="E324" s="46"/>
      <c r="F324" s="52">
        <f>(6.75)*1.1</f>
        <v>7.4250000000000007</v>
      </c>
      <c r="G324" s="47"/>
      <c r="H324" s="47"/>
      <c r="I324" s="53"/>
      <c r="J324" s="81"/>
      <c r="K324" s="136"/>
      <c r="L324" s="136"/>
      <c r="M324" s="136"/>
      <c r="N324" s="136"/>
      <c r="O324" s="136"/>
      <c r="P324" s="136"/>
      <c r="Q324" s="136"/>
      <c r="R324" s="136"/>
      <c r="S324" s="136"/>
    </row>
    <row r="325" spans="1:20" s="168" customFormat="1" ht="13.5" customHeight="1">
      <c r="A325" s="49"/>
      <c r="B325" s="51"/>
      <c r="C325" s="46"/>
      <c r="D325" s="42" t="s">
        <v>545</v>
      </c>
      <c r="E325" s="46"/>
      <c r="F325" s="52">
        <f>(3.06)*1.1</f>
        <v>3.3660000000000005</v>
      </c>
      <c r="G325" s="47"/>
      <c r="H325" s="47"/>
      <c r="I325" s="53"/>
      <c r="J325" s="81"/>
      <c r="K325" s="136"/>
      <c r="L325" s="136"/>
      <c r="M325" s="136"/>
      <c r="N325" s="136"/>
      <c r="O325" s="136"/>
      <c r="P325" s="136"/>
      <c r="Q325" s="136"/>
      <c r="R325" s="136"/>
      <c r="S325" s="136"/>
    </row>
    <row r="326" spans="1:20" s="168" customFormat="1" ht="13.5" customHeight="1">
      <c r="A326" s="49"/>
      <c r="B326" s="51"/>
      <c r="C326" s="46"/>
      <c r="D326" s="42" t="s">
        <v>543</v>
      </c>
      <c r="E326" s="46"/>
      <c r="F326" s="52">
        <f>(9.14)*1.1</f>
        <v>10.054000000000002</v>
      </c>
      <c r="G326" s="47"/>
      <c r="H326" s="47"/>
      <c r="I326" s="53"/>
      <c r="J326" s="55"/>
      <c r="K326" s="136"/>
      <c r="L326" s="136"/>
      <c r="M326" s="136"/>
      <c r="N326" s="136"/>
      <c r="O326" s="136"/>
      <c r="P326" s="136"/>
      <c r="Q326" s="136"/>
      <c r="R326" s="136"/>
      <c r="S326" s="136"/>
    </row>
    <row r="327" spans="1:20" s="168" customFormat="1" ht="13.5" customHeight="1">
      <c r="A327" s="49"/>
      <c r="B327" s="51"/>
      <c r="C327" s="46"/>
      <c r="D327" s="42" t="s">
        <v>544</v>
      </c>
      <c r="E327" s="46"/>
      <c r="F327" s="52">
        <f>(1.65+0.49)*1.1</f>
        <v>2.3539999999999996</v>
      </c>
      <c r="G327" s="47"/>
      <c r="H327" s="47"/>
      <c r="I327" s="53"/>
      <c r="J327" s="56"/>
      <c r="K327" s="136"/>
      <c r="L327" s="136"/>
      <c r="M327" s="136"/>
      <c r="N327" s="136"/>
      <c r="O327" s="136"/>
      <c r="P327" s="136"/>
      <c r="Q327" s="136"/>
      <c r="R327" s="136"/>
      <c r="S327" s="136"/>
    </row>
    <row r="328" spans="1:20" s="168" customFormat="1" ht="13.5" customHeight="1">
      <c r="A328" s="49">
        <v>103</v>
      </c>
      <c r="B328" s="51" t="s">
        <v>412</v>
      </c>
      <c r="C328" s="54">
        <v>931994132</v>
      </c>
      <c r="D328" s="54" t="s">
        <v>659</v>
      </c>
      <c r="E328" s="46" t="s">
        <v>67</v>
      </c>
      <c r="F328" s="50">
        <f>SUM(F330:F331)</f>
        <v>17.099999999999998</v>
      </c>
      <c r="G328" s="11"/>
      <c r="H328" s="47">
        <f>F328*G328</f>
        <v>0</v>
      </c>
      <c r="I328" s="48" t="s">
        <v>259</v>
      </c>
      <c r="J328" s="81"/>
      <c r="K328" s="136"/>
      <c r="L328" s="136"/>
      <c r="M328" s="136"/>
      <c r="N328" s="136"/>
      <c r="O328" s="136"/>
      <c r="P328" s="136"/>
      <c r="Q328" s="136"/>
      <c r="R328" s="136"/>
      <c r="S328" s="136"/>
    </row>
    <row r="329" spans="1:20" s="168" customFormat="1" ht="13.5" customHeight="1">
      <c r="A329" s="49"/>
      <c r="B329" s="51"/>
      <c r="C329" s="46"/>
      <c r="D329" s="42" t="s">
        <v>548</v>
      </c>
      <c r="E329" s="46"/>
      <c r="F329" s="52"/>
      <c r="G329" s="47"/>
      <c r="H329" s="47"/>
      <c r="I329" s="53"/>
      <c r="J329" s="81"/>
      <c r="K329" s="136"/>
      <c r="L329" s="136"/>
      <c r="M329" s="136"/>
      <c r="N329" s="136"/>
      <c r="O329" s="136"/>
      <c r="P329" s="136"/>
      <c r="Q329" s="136"/>
      <c r="R329" s="136"/>
      <c r="S329" s="136"/>
    </row>
    <row r="330" spans="1:20" s="168" customFormat="1" ht="13.5" customHeight="1">
      <c r="A330" s="49"/>
      <c r="B330" s="51"/>
      <c r="C330" s="46"/>
      <c r="D330" s="42" t="s">
        <v>546</v>
      </c>
      <c r="E330" s="46"/>
      <c r="F330" s="52">
        <f>2.55*6</f>
        <v>15.299999999999999</v>
      </c>
      <c r="G330" s="47"/>
      <c r="H330" s="47"/>
      <c r="I330" s="48"/>
      <c r="J330" s="136"/>
      <c r="K330" s="136"/>
      <c r="L330" s="136"/>
      <c r="M330" s="136"/>
      <c r="N330" s="136"/>
      <c r="O330" s="136"/>
      <c r="P330" s="136"/>
      <c r="Q330" s="136"/>
      <c r="R330" s="136"/>
      <c r="S330" s="136"/>
    </row>
    <row r="331" spans="1:20" s="168" customFormat="1" ht="13.5" customHeight="1">
      <c r="A331" s="49"/>
      <c r="B331" s="51"/>
      <c r="C331" s="46"/>
      <c r="D331" s="42" t="s">
        <v>547</v>
      </c>
      <c r="E331" s="46"/>
      <c r="F331" s="52">
        <f>(1.5+0.3)</f>
        <v>1.8</v>
      </c>
      <c r="G331" s="47"/>
      <c r="H331" s="47"/>
      <c r="I331" s="48"/>
      <c r="J331" s="136"/>
      <c r="K331" s="136"/>
      <c r="L331" s="136"/>
      <c r="M331" s="136"/>
      <c r="N331" s="136"/>
      <c r="O331" s="136"/>
      <c r="P331" s="136"/>
      <c r="Q331" s="136"/>
      <c r="R331" s="136"/>
      <c r="S331" s="136"/>
    </row>
    <row r="332" spans="1:20" s="168" customFormat="1" ht="13.5" customHeight="1">
      <c r="A332" s="49">
        <v>104</v>
      </c>
      <c r="B332" s="51" t="s">
        <v>412</v>
      </c>
      <c r="C332" s="54" t="s">
        <v>660</v>
      </c>
      <c r="D332" s="54" t="s">
        <v>659</v>
      </c>
      <c r="E332" s="46" t="s">
        <v>67</v>
      </c>
      <c r="F332" s="50">
        <f>SUM(F333:F334)</f>
        <v>7.2</v>
      </c>
      <c r="G332" s="11"/>
      <c r="H332" s="47">
        <f>F332*G332</f>
        <v>0</v>
      </c>
      <c r="I332" s="48" t="s">
        <v>259</v>
      </c>
      <c r="J332" s="81"/>
      <c r="K332" s="136"/>
      <c r="L332" s="136"/>
      <c r="M332" s="136"/>
      <c r="N332" s="136"/>
      <c r="O332" s="136"/>
      <c r="P332" s="136"/>
      <c r="Q332" s="136"/>
      <c r="R332" s="136"/>
      <c r="S332" s="136"/>
    </row>
    <row r="333" spans="1:20" s="168" customFormat="1" ht="13.5" customHeight="1">
      <c r="A333" s="49"/>
      <c r="B333" s="51"/>
      <c r="C333" s="46"/>
      <c r="D333" s="42" t="s">
        <v>549</v>
      </c>
      <c r="E333" s="46"/>
      <c r="F333" s="52"/>
      <c r="G333" s="47"/>
      <c r="H333" s="47"/>
      <c r="I333" s="53"/>
      <c r="J333" s="81"/>
      <c r="K333" s="136"/>
      <c r="L333" s="136"/>
      <c r="M333" s="136"/>
      <c r="N333" s="136"/>
      <c r="O333" s="136"/>
      <c r="P333" s="136"/>
      <c r="Q333" s="136"/>
      <c r="R333" s="136"/>
      <c r="S333" s="136"/>
    </row>
    <row r="334" spans="1:20" s="168" customFormat="1" ht="13.5" customHeight="1">
      <c r="A334" s="49"/>
      <c r="B334" s="51"/>
      <c r="C334" s="46"/>
      <c r="D334" s="42" t="s">
        <v>550</v>
      </c>
      <c r="E334" s="46"/>
      <c r="F334" s="52">
        <f>3.2*2+0.4*2</f>
        <v>7.2</v>
      </c>
      <c r="G334" s="47"/>
      <c r="H334" s="47"/>
      <c r="I334" s="48"/>
      <c r="J334" s="136"/>
      <c r="K334" s="136"/>
      <c r="L334" s="136"/>
      <c r="M334" s="136"/>
      <c r="N334" s="136"/>
      <c r="O334" s="136"/>
      <c r="P334" s="136"/>
      <c r="Q334" s="136"/>
      <c r="R334" s="136"/>
      <c r="S334" s="136"/>
    </row>
    <row r="335" spans="1:20" s="84" customFormat="1" ht="27" customHeight="1">
      <c r="A335" s="45">
        <v>105</v>
      </c>
      <c r="B335" s="51" t="s">
        <v>225</v>
      </c>
      <c r="C335" s="46">
        <v>941111131</v>
      </c>
      <c r="D335" s="46" t="s">
        <v>226</v>
      </c>
      <c r="E335" s="46" t="s">
        <v>21</v>
      </c>
      <c r="F335" s="50">
        <f>SUM(F337)</f>
        <v>714.57349999999985</v>
      </c>
      <c r="G335" s="38"/>
      <c r="H335" s="47">
        <f>F335*G335</f>
        <v>0</v>
      </c>
      <c r="I335" s="48" t="s">
        <v>183</v>
      </c>
      <c r="K335" s="97"/>
      <c r="L335" s="184"/>
    </row>
    <row r="336" spans="1:20" s="153" customFormat="1" ht="27" customHeight="1">
      <c r="A336" s="45"/>
      <c r="B336" s="51"/>
      <c r="C336" s="46"/>
      <c r="D336" s="42" t="s">
        <v>62</v>
      </c>
      <c r="E336" s="46"/>
      <c r="F336" s="52"/>
      <c r="G336" s="47"/>
      <c r="H336" s="47"/>
      <c r="I336" s="185"/>
      <c r="J336" s="84"/>
      <c r="K336" s="97"/>
      <c r="L336" s="184"/>
      <c r="M336" s="84"/>
      <c r="N336" s="84"/>
      <c r="O336" s="84"/>
      <c r="P336" s="84"/>
      <c r="Q336" s="84"/>
      <c r="R336" s="84"/>
      <c r="S336" s="84"/>
    </row>
    <row r="337" spans="1:19" s="61" customFormat="1" ht="13.5" customHeight="1">
      <c r="A337" s="111"/>
      <c r="B337" s="112"/>
      <c r="C337" s="112"/>
      <c r="D337" s="83" t="s">
        <v>337</v>
      </c>
      <c r="E337" s="112"/>
      <c r="F337" s="52">
        <f>(5+2.85+6.6+14.1+48.4+14.1+6.6+2.9+5)*6.77</f>
        <v>714.57349999999985</v>
      </c>
      <c r="G337" s="114"/>
      <c r="H337" s="114"/>
      <c r="I337" s="186"/>
      <c r="J337" s="60"/>
      <c r="K337" s="97"/>
      <c r="L337" s="184"/>
      <c r="M337" s="60"/>
      <c r="N337" s="60"/>
      <c r="O337" s="60"/>
      <c r="P337" s="60"/>
      <c r="Q337" s="60"/>
      <c r="R337" s="60"/>
      <c r="S337" s="60"/>
    </row>
    <row r="338" spans="1:19" s="61" customFormat="1" ht="27" customHeight="1">
      <c r="A338" s="45">
        <v>106</v>
      </c>
      <c r="B338" s="51" t="s">
        <v>225</v>
      </c>
      <c r="C338" s="46">
        <v>941111231</v>
      </c>
      <c r="D338" s="46" t="s">
        <v>227</v>
      </c>
      <c r="E338" s="46" t="s">
        <v>21</v>
      </c>
      <c r="F338" s="50">
        <f>F339</f>
        <v>107185.50000000001</v>
      </c>
      <c r="G338" s="11"/>
      <c r="H338" s="47">
        <f>F338*G338</f>
        <v>0</v>
      </c>
      <c r="I338" s="48" t="s">
        <v>183</v>
      </c>
      <c r="J338" s="60"/>
      <c r="K338" s="60"/>
      <c r="L338" s="60"/>
      <c r="M338" s="60"/>
      <c r="N338" s="60"/>
      <c r="O338" s="60"/>
      <c r="P338" s="60"/>
      <c r="Q338" s="60"/>
      <c r="R338" s="60"/>
      <c r="S338" s="60"/>
    </row>
    <row r="339" spans="1:19" s="153" customFormat="1" ht="13.5" customHeight="1">
      <c r="A339" s="45"/>
      <c r="B339" s="51"/>
      <c r="C339" s="46"/>
      <c r="D339" s="42" t="s">
        <v>338</v>
      </c>
      <c r="E339" s="46"/>
      <c r="F339" s="52">
        <f>(714.57)*150</f>
        <v>107185.50000000001</v>
      </c>
      <c r="G339" s="47"/>
      <c r="H339" s="47"/>
      <c r="I339" s="53"/>
      <c r="J339" s="84"/>
      <c r="K339" s="84"/>
      <c r="L339" s="84"/>
      <c r="M339" s="84"/>
      <c r="N339" s="84"/>
      <c r="O339" s="84"/>
      <c r="P339" s="84"/>
      <c r="Q339" s="84"/>
      <c r="R339" s="84"/>
      <c r="S339" s="84"/>
    </row>
    <row r="340" spans="1:19" s="84" customFormat="1" ht="27" customHeight="1">
      <c r="A340" s="45">
        <v>107</v>
      </c>
      <c r="B340" s="51" t="s">
        <v>225</v>
      </c>
      <c r="C340" s="46">
        <v>941111831</v>
      </c>
      <c r="D340" s="46" t="s">
        <v>228</v>
      </c>
      <c r="E340" s="46" t="s">
        <v>21</v>
      </c>
      <c r="F340" s="50">
        <f>F341</f>
        <v>714.57349999999985</v>
      </c>
      <c r="G340" s="11"/>
      <c r="H340" s="47">
        <f>F340*G340</f>
        <v>0</v>
      </c>
      <c r="I340" s="48" t="s">
        <v>183</v>
      </c>
      <c r="J340" s="154"/>
      <c r="K340" s="97"/>
      <c r="L340" s="184"/>
    </row>
    <row r="341" spans="1:19" s="153" customFormat="1" ht="27" customHeight="1">
      <c r="A341" s="45"/>
      <c r="B341" s="51"/>
      <c r="C341" s="46"/>
      <c r="D341" s="42" t="s">
        <v>63</v>
      </c>
      <c r="E341" s="46"/>
      <c r="F341" s="52">
        <f>F335</f>
        <v>714.57349999999985</v>
      </c>
      <c r="G341" s="47"/>
      <c r="H341" s="47"/>
      <c r="I341" s="185"/>
      <c r="J341" s="84"/>
      <c r="K341" s="97"/>
      <c r="L341" s="184"/>
      <c r="M341" s="84"/>
      <c r="N341" s="84"/>
      <c r="O341" s="84"/>
      <c r="P341" s="84"/>
      <c r="Q341" s="84"/>
      <c r="R341" s="84"/>
      <c r="S341" s="84"/>
    </row>
    <row r="342" spans="1:19" s="60" customFormat="1" ht="13.5" customHeight="1">
      <c r="A342" s="45">
        <v>108</v>
      </c>
      <c r="B342" s="51" t="s">
        <v>225</v>
      </c>
      <c r="C342" s="46">
        <v>944511111</v>
      </c>
      <c r="D342" s="46" t="s">
        <v>64</v>
      </c>
      <c r="E342" s="46" t="s">
        <v>21</v>
      </c>
      <c r="F342" s="50">
        <f>SUM(F343)</f>
        <v>714.57349999999985</v>
      </c>
      <c r="G342" s="38"/>
      <c r="H342" s="47">
        <f>F342*G342</f>
        <v>0</v>
      </c>
      <c r="I342" s="48" t="s">
        <v>183</v>
      </c>
      <c r="K342" s="97"/>
      <c r="L342" s="184"/>
    </row>
    <row r="343" spans="1:19" s="61" customFormat="1" ht="13.5" customHeight="1">
      <c r="A343" s="111"/>
      <c r="B343" s="112"/>
      <c r="C343" s="112"/>
      <c r="D343" s="83" t="s">
        <v>339</v>
      </c>
      <c r="E343" s="112"/>
      <c r="F343" s="52">
        <f>(5+2.85+6.6+14.1+48.4+14.1+6.6+2.9+5)*6.77</f>
        <v>714.57349999999985</v>
      </c>
      <c r="G343" s="114"/>
      <c r="H343" s="114"/>
      <c r="I343" s="186"/>
      <c r="J343" s="60"/>
      <c r="K343" s="97"/>
      <c r="L343" s="184"/>
      <c r="M343" s="60"/>
      <c r="N343" s="60"/>
      <c r="O343" s="60"/>
      <c r="P343" s="60"/>
      <c r="Q343" s="60"/>
      <c r="R343" s="60"/>
      <c r="S343" s="60"/>
    </row>
    <row r="344" spans="1:19" s="60" customFormat="1" ht="13.5" customHeight="1">
      <c r="A344" s="45">
        <v>109</v>
      </c>
      <c r="B344" s="51" t="s">
        <v>225</v>
      </c>
      <c r="C344" s="46">
        <v>944511211</v>
      </c>
      <c r="D344" s="46" t="s">
        <v>74</v>
      </c>
      <c r="E344" s="46" t="s">
        <v>21</v>
      </c>
      <c r="F344" s="50">
        <f>F345</f>
        <v>107185.50000000001</v>
      </c>
      <c r="G344" s="38"/>
      <c r="H344" s="47">
        <f>F344*G344</f>
        <v>0</v>
      </c>
      <c r="I344" s="48" t="s">
        <v>183</v>
      </c>
      <c r="K344" s="97"/>
      <c r="L344" s="184"/>
    </row>
    <row r="345" spans="1:19" s="153" customFormat="1" ht="13.5" customHeight="1">
      <c r="A345" s="45"/>
      <c r="B345" s="51"/>
      <c r="C345" s="46"/>
      <c r="D345" s="42" t="s">
        <v>340</v>
      </c>
      <c r="E345" s="46"/>
      <c r="F345" s="52">
        <f>(714.57)*150</f>
        <v>107185.50000000001</v>
      </c>
      <c r="G345" s="47"/>
      <c r="H345" s="47"/>
      <c r="I345" s="53"/>
      <c r="J345" s="84"/>
      <c r="K345" s="84"/>
      <c r="L345" s="84"/>
      <c r="M345" s="84"/>
      <c r="N345" s="84"/>
      <c r="O345" s="84"/>
      <c r="P345" s="84"/>
      <c r="Q345" s="84"/>
      <c r="R345" s="84"/>
      <c r="S345" s="84"/>
    </row>
    <row r="346" spans="1:19" s="60" customFormat="1" ht="13.5" customHeight="1">
      <c r="A346" s="45">
        <v>110</v>
      </c>
      <c r="B346" s="51" t="s">
        <v>225</v>
      </c>
      <c r="C346" s="46">
        <v>944511811</v>
      </c>
      <c r="D346" s="46" t="s">
        <v>65</v>
      </c>
      <c r="E346" s="46" t="s">
        <v>21</v>
      </c>
      <c r="F346" s="50">
        <f>F342</f>
        <v>714.57349999999985</v>
      </c>
      <c r="G346" s="11"/>
      <c r="H346" s="47">
        <f>F346*G346</f>
        <v>0</v>
      </c>
      <c r="I346" s="48" t="s">
        <v>183</v>
      </c>
      <c r="K346" s="97"/>
      <c r="L346" s="184"/>
    </row>
    <row r="347" spans="1:19" s="84" customFormat="1" ht="13.5" customHeight="1">
      <c r="A347" s="45">
        <v>111</v>
      </c>
      <c r="B347" s="51" t="s">
        <v>225</v>
      </c>
      <c r="C347" s="46">
        <v>944711114</v>
      </c>
      <c r="D347" s="46" t="s">
        <v>66</v>
      </c>
      <c r="E347" s="46" t="s">
        <v>67</v>
      </c>
      <c r="F347" s="50">
        <f>F348</f>
        <v>13</v>
      </c>
      <c r="G347" s="38"/>
      <c r="H347" s="47">
        <f>F347*G347</f>
        <v>0</v>
      </c>
      <c r="I347" s="48" t="s">
        <v>183</v>
      </c>
      <c r="J347" s="94"/>
      <c r="K347" s="97"/>
      <c r="L347" s="184"/>
    </row>
    <row r="348" spans="1:19" s="153" customFormat="1" ht="13.5" customHeight="1">
      <c r="A348" s="45"/>
      <c r="B348" s="51"/>
      <c r="C348" s="46"/>
      <c r="D348" s="42" t="s">
        <v>206</v>
      </c>
      <c r="E348" s="46"/>
      <c r="F348" s="52">
        <f>3.4*2+3.1*2</f>
        <v>13</v>
      </c>
      <c r="G348" s="47"/>
      <c r="H348" s="47"/>
      <c r="I348" s="53"/>
      <c r="J348" s="187"/>
      <c r="K348" s="84"/>
      <c r="L348" s="84"/>
      <c r="M348" s="84"/>
      <c r="N348" s="84"/>
      <c r="O348" s="84"/>
      <c r="P348" s="84"/>
      <c r="Q348" s="84"/>
      <c r="R348" s="84"/>
      <c r="S348" s="84"/>
    </row>
    <row r="349" spans="1:19" s="60" customFormat="1" ht="13.5" customHeight="1">
      <c r="A349" s="45">
        <v>112</v>
      </c>
      <c r="B349" s="51" t="s">
        <v>225</v>
      </c>
      <c r="C349" s="46">
        <v>944711214</v>
      </c>
      <c r="D349" s="46" t="s">
        <v>75</v>
      </c>
      <c r="E349" s="46" t="s">
        <v>67</v>
      </c>
      <c r="F349" s="50">
        <f>F350</f>
        <v>1950</v>
      </c>
      <c r="G349" s="38"/>
      <c r="H349" s="47">
        <f>F349*G349</f>
        <v>0</v>
      </c>
      <c r="I349" s="48" t="s">
        <v>183</v>
      </c>
      <c r="K349" s="97"/>
      <c r="L349" s="184"/>
    </row>
    <row r="350" spans="1:19" s="153" customFormat="1" ht="13.5" customHeight="1">
      <c r="A350" s="45"/>
      <c r="B350" s="51"/>
      <c r="C350" s="46"/>
      <c r="D350" s="42" t="s">
        <v>341</v>
      </c>
      <c r="E350" s="46"/>
      <c r="F350" s="52">
        <f>(13)*150</f>
        <v>1950</v>
      </c>
      <c r="G350" s="47"/>
      <c r="H350" s="47"/>
      <c r="I350" s="53"/>
      <c r="J350" s="84"/>
      <c r="K350" s="84"/>
      <c r="L350" s="84"/>
      <c r="M350" s="84"/>
      <c r="N350" s="84"/>
      <c r="O350" s="84"/>
      <c r="P350" s="84"/>
      <c r="Q350" s="84"/>
      <c r="R350" s="84"/>
      <c r="S350" s="84"/>
    </row>
    <row r="351" spans="1:19" s="84" customFormat="1" ht="13.5" customHeight="1">
      <c r="A351" s="45">
        <v>113</v>
      </c>
      <c r="B351" s="51" t="s">
        <v>225</v>
      </c>
      <c r="C351" s="46">
        <v>944711814</v>
      </c>
      <c r="D351" s="46" t="s">
        <v>68</v>
      </c>
      <c r="E351" s="46" t="s">
        <v>67</v>
      </c>
      <c r="F351" s="50">
        <f>F347</f>
        <v>13</v>
      </c>
      <c r="G351" s="11"/>
      <c r="H351" s="47">
        <f>F351*G351</f>
        <v>0</v>
      </c>
      <c r="I351" s="48" t="s">
        <v>183</v>
      </c>
    </row>
    <row r="352" spans="1:19" s="61" customFormat="1" ht="27" customHeight="1">
      <c r="A352" s="45">
        <v>114</v>
      </c>
      <c r="B352" s="51" t="s">
        <v>225</v>
      </c>
      <c r="C352" s="46">
        <v>949101111</v>
      </c>
      <c r="D352" s="46" t="s">
        <v>229</v>
      </c>
      <c r="E352" s="46" t="s">
        <v>21</v>
      </c>
      <c r="F352" s="50">
        <f>SUM(F355:F356)</f>
        <v>789.75</v>
      </c>
      <c r="G352" s="11"/>
      <c r="H352" s="47">
        <f>F352*G352</f>
        <v>0</v>
      </c>
      <c r="I352" s="48" t="s">
        <v>183</v>
      </c>
      <c r="J352" s="188"/>
      <c r="K352" s="60"/>
      <c r="L352" s="60"/>
      <c r="M352" s="60"/>
      <c r="N352" s="60"/>
      <c r="O352" s="60"/>
      <c r="P352" s="60"/>
      <c r="Q352" s="60"/>
      <c r="R352" s="60"/>
      <c r="S352" s="60"/>
    </row>
    <row r="353" spans="1:19" s="61" customFormat="1" ht="13.5" customHeight="1">
      <c r="A353" s="111"/>
      <c r="B353" s="189"/>
      <c r="C353" s="112"/>
      <c r="D353" s="42" t="s">
        <v>69</v>
      </c>
      <c r="E353" s="112"/>
      <c r="F353" s="52"/>
      <c r="G353" s="114"/>
      <c r="H353" s="114"/>
      <c r="I353" s="186"/>
      <c r="J353" s="60"/>
      <c r="K353" s="60"/>
      <c r="L353" s="60"/>
      <c r="M353" s="60"/>
      <c r="N353" s="60"/>
      <c r="O353" s="60"/>
      <c r="P353" s="60"/>
      <c r="Q353" s="60"/>
      <c r="R353" s="60"/>
      <c r="S353" s="60"/>
    </row>
    <row r="354" spans="1:19" s="61" customFormat="1" ht="13.5" customHeight="1">
      <c r="A354" s="111"/>
      <c r="B354" s="189"/>
      <c r="C354" s="112"/>
      <c r="D354" s="42" t="s">
        <v>70</v>
      </c>
      <c r="E354" s="112"/>
      <c r="F354" s="52"/>
      <c r="G354" s="114"/>
      <c r="H354" s="114"/>
      <c r="I354" s="186"/>
      <c r="J354" s="60"/>
      <c r="K354" s="60"/>
      <c r="L354" s="60"/>
      <c r="M354" s="60"/>
      <c r="N354" s="60"/>
      <c r="O354" s="60"/>
      <c r="P354" s="60"/>
      <c r="Q354" s="60"/>
      <c r="R354" s="60"/>
      <c r="S354" s="60"/>
    </row>
    <row r="355" spans="1:19" s="60" customFormat="1" ht="13.5" customHeight="1">
      <c r="A355" s="45"/>
      <c r="B355" s="51"/>
      <c r="C355" s="46"/>
      <c r="D355" s="42" t="s">
        <v>690</v>
      </c>
      <c r="E355" s="46"/>
      <c r="F355" s="52">
        <f>179.5+8.4+15.53+75.32+75.32+18.47+18.74+17.9</f>
        <v>409.17999999999995</v>
      </c>
      <c r="G355" s="47"/>
      <c r="H355" s="47"/>
      <c r="I355" s="48"/>
    </row>
    <row r="356" spans="1:19" s="60" customFormat="1" ht="13.5" customHeight="1">
      <c r="A356" s="45"/>
      <c r="B356" s="51"/>
      <c r="C356" s="46"/>
      <c r="D356" s="42" t="s">
        <v>692</v>
      </c>
      <c r="E356" s="46"/>
      <c r="F356" s="52">
        <f>218.03+14.44+15.02+71.24+29.46+13.37+19.01</f>
        <v>380.57</v>
      </c>
      <c r="G356" s="47"/>
      <c r="H356" s="47"/>
      <c r="I356" s="48"/>
    </row>
    <row r="357" spans="1:19" s="60" customFormat="1" ht="13.5" customHeight="1">
      <c r="A357" s="45">
        <v>115</v>
      </c>
      <c r="B357" s="51" t="s">
        <v>98</v>
      </c>
      <c r="C357" s="46">
        <v>952901111</v>
      </c>
      <c r="D357" s="46" t="s">
        <v>71</v>
      </c>
      <c r="E357" s="46" t="s">
        <v>21</v>
      </c>
      <c r="F357" s="50">
        <f>SUM(F358:F360)</f>
        <v>968.15333333333331</v>
      </c>
      <c r="G357" s="11"/>
      <c r="H357" s="47">
        <f>F357*G357</f>
        <v>0</v>
      </c>
      <c r="I357" s="48" t="s">
        <v>183</v>
      </c>
    </row>
    <row r="358" spans="1:19" s="61" customFormat="1" ht="13.5" customHeight="1">
      <c r="A358" s="111"/>
      <c r="B358" s="189"/>
      <c r="C358" s="112"/>
      <c r="D358" s="42" t="s">
        <v>691</v>
      </c>
      <c r="E358" s="112"/>
      <c r="F358" s="52">
        <f>179.5+8.4+15.53+75.32+75.32+18.47+18.74+17.9</f>
        <v>409.17999999999995</v>
      </c>
      <c r="G358" s="114"/>
      <c r="H358" s="114"/>
      <c r="I358" s="186"/>
      <c r="J358" s="60"/>
      <c r="K358" s="60"/>
      <c r="L358" s="60"/>
      <c r="M358" s="60"/>
      <c r="N358" s="60"/>
      <c r="O358" s="60"/>
      <c r="P358" s="60"/>
      <c r="Q358" s="60"/>
      <c r="R358" s="60"/>
      <c r="S358" s="60"/>
    </row>
    <row r="359" spans="1:19" s="60" customFormat="1" ht="13.5" customHeight="1">
      <c r="A359" s="45"/>
      <c r="B359" s="51"/>
      <c r="C359" s="46"/>
      <c r="D359" s="42" t="s">
        <v>693</v>
      </c>
      <c r="E359" s="46"/>
      <c r="F359" s="52">
        <f>218.03+14.44+15.02+71.24+29.46+13.37+19.01</f>
        <v>380.57</v>
      </c>
      <c r="G359" s="47"/>
      <c r="H359" s="47"/>
      <c r="I359" s="48"/>
    </row>
    <row r="360" spans="1:19" s="60" customFormat="1" ht="13.5" customHeight="1">
      <c r="A360" s="45"/>
      <c r="B360" s="51"/>
      <c r="C360" s="46"/>
      <c r="D360" s="42" t="s">
        <v>344</v>
      </c>
      <c r="E360" s="46"/>
      <c r="F360" s="52">
        <f>(461.61+73.6)*(1/3)</f>
        <v>178.40333333333334</v>
      </c>
      <c r="G360" s="47"/>
      <c r="H360" s="47"/>
      <c r="I360" s="48"/>
      <c r="J360" s="84"/>
      <c r="K360" s="84"/>
    </row>
    <row r="361" spans="1:19" s="168" customFormat="1" ht="27" customHeight="1">
      <c r="A361" s="49">
        <v>116</v>
      </c>
      <c r="B361" s="51" t="s">
        <v>661</v>
      </c>
      <c r="C361" s="46" t="s">
        <v>429</v>
      </c>
      <c r="D361" s="46" t="s">
        <v>491</v>
      </c>
      <c r="E361" s="46" t="s">
        <v>60</v>
      </c>
      <c r="F361" s="50">
        <f>SUM(F362:F363)</f>
        <v>53</v>
      </c>
      <c r="G361" s="11"/>
      <c r="H361" s="47">
        <f>F361*G361</f>
        <v>0</v>
      </c>
      <c r="I361" s="48" t="s">
        <v>259</v>
      </c>
      <c r="J361" s="136"/>
      <c r="K361" s="136"/>
      <c r="L361" s="136"/>
      <c r="M361" s="136"/>
      <c r="N361" s="136"/>
      <c r="O361" s="136"/>
      <c r="P361" s="136"/>
      <c r="Q361" s="136"/>
      <c r="R361" s="136"/>
      <c r="S361" s="136"/>
    </row>
    <row r="362" spans="1:19" s="168" customFormat="1" ht="13.5" customHeight="1">
      <c r="A362" s="49"/>
      <c r="B362" s="51"/>
      <c r="C362" s="46"/>
      <c r="D362" s="42" t="s">
        <v>492</v>
      </c>
      <c r="E362" s="46"/>
      <c r="F362" s="52">
        <v>3</v>
      </c>
      <c r="G362" s="47"/>
      <c r="H362" s="47"/>
      <c r="I362" s="53"/>
      <c r="J362" s="136"/>
      <c r="K362" s="136"/>
      <c r="L362" s="136"/>
      <c r="M362" s="136"/>
      <c r="N362" s="136"/>
      <c r="O362" s="136"/>
      <c r="P362" s="136"/>
      <c r="Q362" s="136"/>
      <c r="R362" s="136"/>
      <c r="S362" s="136"/>
    </row>
    <row r="363" spans="1:19" s="168" customFormat="1" ht="13.5" customHeight="1">
      <c r="A363" s="49"/>
      <c r="B363" s="51"/>
      <c r="C363" s="46"/>
      <c r="D363" s="42" t="s">
        <v>493</v>
      </c>
      <c r="E363" s="46"/>
      <c r="F363" s="52">
        <v>50</v>
      </c>
      <c r="G363" s="47"/>
      <c r="H363" s="47"/>
      <c r="I363" s="53"/>
      <c r="J363" s="136"/>
      <c r="K363" s="136"/>
      <c r="L363" s="136"/>
      <c r="M363" s="136"/>
      <c r="N363" s="136"/>
      <c r="O363" s="136"/>
      <c r="P363" s="136"/>
      <c r="Q363" s="136"/>
      <c r="R363" s="136"/>
      <c r="S363" s="136"/>
    </row>
    <row r="364" spans="1:19" s="168" customFormat="1" ht="13.5" customHeight="1">
      <c r="A364" s="49"/>
      <c r="B364" s="51"/>
      <c r="C364" s="46"/>
      <c r="D364" s="42" t="s">
        <v>394</v>
      </c>
      <c r="E364" s="46"/>
      <c r="F364" s="52"/>
      <c r="G364" s="47"/>
      <c r="H364" s="47"/>
      <c r="I364" s="53"/>
      <c r="J364" s="136"/>
      <c r="K364" s="136"/>
      <c r="L364" s="136"/>
      <c r="M364" s="136"/>
      <c r="N364" s="136"/>
      <c r="O364" s="136"/>
      <c r="P364" s="136"/>
      <c r="Q364" s="190"/>
      <c r="R364" s="136"/>
      <c r="S364" s="136"/>
    </row>
    <row r="365" spans="1:19" s="168" customFormat="1" ht="40.5" customHeight="1">
      <c r="A365" s="49"/>
      <c r="B365" s="51"/>
      <c r="C365" s="46"/>
      <c r="D365" s="42" t="s">
        <v>393</v>
      </c>
      <c r="E365" s="46"/>
      <c r="F365" s="52"/>
      <c r="G365" s="47"/>
      <c r="H365" s="47"/>
      <c r="I365" s="53"/>
      <c r="J365" s="136"/>
      <c r="K365" s="136"/>
      <c r="L365" s="136"/>
      <c r="M365" s="136"/>
      <c r="N365" s="136"/>
      <c r="O365" s="136"/>
      <c r="P365" s="136"/>
      <c r="Q365" s="136"/>
      <c r="R365" s="136"/>
      <c r="S365" s="136"/>
    </row>
    <row r="366" spans="1:19" s="168" customFormat="1" ht="13.5" customHeight="1">
      <c r="A366" s="49">
        <v>117</v>
      </c>
      <c r="B366" s="51" t="s">
        <v>98</v>
      </c>
      <c r="C366" s="46" t="s">
        <v>662</v>
      </c>
      <c r="D366" s="46" t="s">
        <v>694</v>
      </c>
      <c r="E366" s="46" t="s">
        <v>60</v>
      </c>
      <c r="F366" s="50">
        <f>SUM(F367)</f>
        <v>53</v>
      </c>
      <c r="G366" s="11"/>
      <c r="H366" s="47">
        <f>F366*G366</f>
        <v>0</v>
      </c>
      <c r="I366" s="48" t="s">
        <v>259</v>
      </c>
      <c r="J366" s="136"/>
      <c r="K366" s="136"/>
      <c r="L366" s="136"/>
      <c r="M366" s="136"/>
      <c r="N366" s="136"/>
      <c r="O366" s="136"/>
      <c r="P366" s="136"/>
      <c r="Q366" s="136"/>
      <c r="R366" s="136"/>
      <c r="S366" s="136"/>
    </row>
    <row r="367" spans="1:19" s="168" customFormat="1" ht="13.5" customHeight="1">
      <c r="A367" s="49"/>
      <c r="B367" s="191"/>
      <c r="C367" s="46"/>
      <c r="D367" s="42" t="s">
        <v>494</v>
      </c>
      <c r="E367" s="46"/>
      <c r="F367" s="52">
        <f>3+50</f>
        <v>53</v>
      </c>
      <c r="G367" s="47"/>
      <c r="H367" s="47"/>
      <c r="I367" s="48"/>
      <c r="J367" s="136"/>
      <c r="K367" s="136"/>
      <c r="L367" s="136"/>
      <c r="M367" s="136"/>
      <c r="N367" s="136"/>
      <c r="O367" s="136"/>
      <c r="P367" s="136"/>
      <c r="Q367" s="136"/>
      <c r="R367" s="136"/>
      <c r="S367" s="136"/>
    </row>
    <row r="368" spans="1:19" s="168" customFormat="1" ht="13.5" customHeight="1">
      <c r="A368" s="49">
        <v>118</v>
      </c>
      <c r="B368" s="51" t="s">
        <v>98</v>
      </c>
      <c r="C368" s="46" t="s">
        <v>736</v>
      </c>
      <c r="D368" s="46" t="s">
        <v>738</v>
      </c>
      <c r="E368" s="46" t="s">
        <v>21</v>
      </c>
      <c r="F368" s="50">
        <v>78.650000000000006</v>
      </c>
      <c r="G368" s="11"/>
      <c r="H368" s="47">
        <f>F368*G368</f>
        <v>0</v>
      </c>
      <c r="I368" s="48" t="s">
        <v>259</v>
      </c>
      <c r="J368" s="136"/>
      <c r="K368" s="136"/>
      <c r="L368" s="136"/>
      <c r="M368" s="136"/>
      <c r="N368" s="136"/>
      <c r="O368" s="136"/>
      <c r="P368" s="136"/>
      <c r="Q368" s="136"/>
      <c r="R368" s="136"/>
      <c r="S368" s="136"/>
    </row>
    <row r="369" spans="1:23" s="168" customFormat="1" ht="27" customHeight="1">
      <c r="A369" s="49"/>
      <c r="B369" s="191"/>
      <c r="C369" s="46"/>
      <c r="D369" s="42" t="s">
        <v>737</v>
      </c>
      <c r="E369" s="46"/>
      <c r="F369" s="52"/>
      <c r="G369" s="47"/>
      <c r="H369" s="47"/>
      <c r="I369" s="48"/>
      <c r="J369" s="136"/>
      <c r="K369" s="136"/>
      <c r="L369" s="136"/>
      <c r="M369" s="136"/>
      <c r="N369" s="136"/>
      <c r="O369" s="136"/>
      <c r="P369" s="136"/>
      <c r="Q369" s="136"/>
      <c r="R369" s="136"/>
      <c r="S369" s="136"/>
    </row>
    <row r="370" spans="1:23" s="168" customFormat="1" ht="27" customHeight="1">
      <c r="A370" s="49"/>
      <c r="B370" s="191"/>
      <c r="C370" s="46"/>
      <c r="D370" s="42" t="s">
        <v>766</v>
      </c>
      <c r="E370" s="46"/>
      <c r="F370" s="52"/>
      <c r="G370" s="47"/>
      <c r="H370" s="47"/>
      <c r="I370" s="48"/>
      <c r="J370" s="136"/>
      <c r="K370" s="136"/>
      <c r="L370" s="136"/>
      <c r="M370" s="136"/>
      <c r="N370" s="136"/>
      <c r="O370" s="136"/>
      <c r="P370" s="136"/>
      <c r="Q370" s="136"/>
      <c r="R370" s="136"/>
      <c r="S370" s="136"/>
    </row>
    <row r="371" spans="1:23" s="168" customFormat="1" ht="40.5" customHeight="1">
      <c r="A371" s="49"/>
      <c r="B371" s="51"/>
      <c r="C371" s="46"/>
      <c r="D371" s="42" t="s">
        <v>393</v>
      </c>
      <c r="E371" s="46"/>
      <c r="F371" s="52"/>
      <c r="G371" s="47"/>
      <c r="H371" s="47"/>
      <c r="I371" s="53"/>
      <c r="J371" s="136"/>
      <c r="K371" s="136"/>
      <c r="L371" s="136"/>
      <c r="M371" s="136"/>
      <c r="N371" s="136"/>
      <c r="O371" s="136"/>
      <c r="P371" s="136"/>
      <c r="Q371" s="136"/>
      <c r="R371" s="136"/>
      <c r="S371" s="136"/>
    </row>
    <row r="372" spans="1:23" s="168" customFormat="1" ht="27" customHeight="1">
      <c r="A372" s="45">
        <v>119</v>
      </c>
      <c r="B372" s="51" t="s">
        <v>142</v>
      </c>
      <c r="C372" s="46" t="s">
        <v>633</v>
      </c>
      <c r="D372" s="46" t="s">
        <v>634</v>
      </c>
      <c r="E372" s="46" t="s">
        <v>35</v>
      </c>
      <c r="F372" s="192">
        <f>F373</f>
        <v>11.901</v>
      </c>
      <c r="G372" s="193">
        <f>SUM(H374:H377)/F372</f>
        <v>0</v>
      </c>
      <c r="H372" s="47">
        <f t="shared" ref="H372" si="0">F372*G372</f>
        <v>0</v>
      </c>
      <c r="I372" s="78" t="s">
        <v>192</v>
      </c>
      <c r="J372" s="60"/>
      <c r="K372" s="136"/>
      <c r="L372" s="136"/>
      <c r="M372" s="136"/>
      <c r="N372" s="136"/>
      <c r="O372" s="136"/>
      <c r="P372" s="136"/>
      <c r="Q372" s="136"/>
      <c r="R372" s="136"/>
      <c r="S372" s="136"/>
    </row>
    <row r="373" spans="1:23" s="168" customFormat="1" ht="40.5" customHeight="1">
      <c r="A373" s="144"/>
      <c r="B373" s="194"/>
      <c r="C373" s="145"/>
      <c r="D373" s="42" t="s">
        <v>393</v>
      </c>
      <c r="E373" s="42"/>
      <c r="F373" s="195">
        <v>11.901</v>
      </c>
      <c r="G373" s="147"/>
      <c r="H373" s="47"/>
      <c r="I373" s="186"/>
      <c r="J373" s="60"/>
      <c r="K373" s="136"/>
      <c r="L373" s="136"/>
      <c r="M373" s="136"/>
      <c r="N373" s="136"/>
      <c r="O373" s="136"/>
      <c r="P373" s="136"/>
      <c r="Q373" s="136"/>
      <c r="R373" s="136"/>
      <c r="S373" s="136"/>
    </row>
    <row r="374" spans="1:23" s="168" customFormat="1" ht="13.5" customHeight="1">
      <c r="A374" s="196" t="s">
        <v>701</v>
      </c>
      <c r="B374" s="194"/>
      <c r="C374" s="145"/>
      <c r="D374" s="197" t="s">
        <v>143</v>
      </c>
      <c r="E374" s="83" t="s">
        <v>35</v>
      </c>
      <c r="F374" s="195">
        <f>F372</f>
        <v>11.901</v>
      </c>
      <c r="G374" s="10"/>
      <c r="H374" s="141">
        <f>F374*G374</f>
        <v>0</v>
      </c>
      <c r="I374" s="186"/>
      <c r="J374" s="60"/>
      <c r="K374" s="136"/>
      <c r="L374" s="136"/>
      <c r="M374" s="136"/>
      <c r="N374" s="136"/>
      <c r="O374" s="136"/>
      <c r="P374" s="136"/>
      <c r="Q374" s="136"/>
      <c r="R374" s="136"/>
      <c r="S374" s="136"/>
    </row>
    <row r="375" spans="1:23" s="168" customFormat="1" ht="13.5" customHeight="1">
      <c r="A375" s="196" t="s">
        <v>702</v>
      </c>
      <c r="B375" s="194"/>
      <c r="C375" s="145"/>
      <c r="D375" s="42" t="s">
        <v>144</v>
      </c>
      <c r="E375" s="83" t="s">
        <v>35</v>
      </c>
      <c r="F375" s="195">
        <f>F374</f>
        <v>11.901</v>
      </c>
      <c r="G375" s="10"/>
      <c r="H375" s="141">
        <f>F375*G375</f>
        <v>0</v>
      </c>
      <c r="I375" s="186"/>
      <c r="J375" s="116"/>
      <c r="K375" s="136"/>
      <c r="L375" s="136"/>
      <c r="M375" s="136"/>
      <c r="N375" s="136"/>
      <c r="O375" s="136"/>
      <c r="P375" s="136"/>
      <c r="Q375" s="136"/>
      <c r="R375" s="136"/>
      <c r="S375" s="136"/>
    </row>
    <row r="376" spans="1:23" s="168" customFormat="1" ht="13.5" customHeight="1">
      <c r="A376" s="196" t="s">
        <v>703</v>
      </c>
      <c r="B376" s="194"/>
      <c r="C376" s="145"/>
      <c r="D376" s="42" t="s">
        <v>145</v>
      </c>
      <c r="E376" s="83" t="s">
        <v>35</v>
      </c>
      <c r="F376" s="195">
        <f>F374</f>
        <v>11.901</v>
      </c>
      <c r="G376" s="10"/>
      <c r="H376" s="141">
        <f>F376*G376</f>
        <v>0</v>
      </c>
      <c r="I376" s="186"/>
      <c r="J376" s="60"/>
      <c r="K376" s="136"/>
      <c r="L376" s="136"/>
      <c r="M376" s="136"/>
      <c r="N376" s="136"/>
      <c r="O376" s="136"/>
      <c r="P376" s="136"/>
      <c r="Q376" s="136"/>
      <c r="R376" s="136"/>
      <c r="S376" s="136"/>
    </row>
    <row r="377" spans="1:23" s="168" customFormat="1" ht="13.5" customHeight="1">
      <c r="A377" s="196" t="s">
        <v>704</v>
      </c>
      <c r="B377" s="194"/>
      <c r="C377" s="145"/>
      <c r="D377" s="42" t="s">
        <v>146</v>
      </c>
      <c r="E377" s="83" t="s">
        <v>35</v>
      </c>
      <c r="F377" s="195">
        <f>F374</f>
        <v>11.901</v>
      </c>
      <c r="G377" s="10"/>
      <c r="H377" s="141">
        <f>F377*G377</f>
        <v>0</v>
      </c>
      <c r="I377" s="186"/>
      <c r="J377" s="60"/>
      <c r="K377" s="136"/>
      <c r="L377" s="136"/>
      <c r="M377" s="136"/>
      <c r="N377" s="136"/>
      <c r="O377" s="136"/>
      <c r="P377" s="136"/>
      <c r="Q377" s="136"/>
      <c r="R377" s="136"/>
      <c r="S377" s="136"/>
    </row>
    <row r="378" spans="1:23" s="60" customFormat="1" ht="13.5" customHeight="1">
      <c r="A378" s="45">
        <v>120</v>
      </c>
      <c r="B378" s="51" t="s">
        <v>142</v>
      </c>
      <c r="C378" s="46" t="s">
        <v>193</v>
      </c>
      <c r="D378" s="46" t="s">
        <v>551</v>
      </c>
      <c r="E378" s="46" t="s">
        <v>27</v>
      </c>
      <c r="F378" s="50">
        <f>SUM(F380:F386)</f>
        <v>1554.3333493852338</v>
      </c>
      <c r="G378" s="183">
        <f>SUM(H387:H391)/F378</f>
        <v>0</v>
      </c>
      <c r="H378" s="47">
        <f>F378*G378</f>
        <v>0</v>
      </c>
      <c r="I378" s="48" t="s">
        <v>192</v>
      </c>
      <c r="J378" s="198"/>
      <c r="K378" s="176"/>
      <c r="L378" s="177"/>
      <c r="M378" s="178"/>
      <c r="N378" s="178"/>
      <c r="O378" s="179"/>
      <c r="P378" s="178"/>
      <c r="Q378" s="180"/>
      <c r="R378" s="181"/>
      <c r="S378" s="182"/>
      <c r="W378" s="131"/>
    </row>
    <row r="379" spans="1:23" s="60" customFormat="1" ht="40.5" customHeight="1">
      <c r="A379" s="144"/>
      <c r="B379" s="194"/>
      <c r="C379" s="145"/>
      <c r="D379" s="42" t="s">
        <v>194</v>
      </c>
      <c r="E379" s="42"/>
      <c r="F379" s="52"/>
      <c r="G379" s="47"/>
      <c r="H379" s="47"/>
      <c r="I379" s="186"/>
      <c r="J379" s="199"/>
      <c r="K379" s="176"/>
      <c r="L379" s="177"/>
      <c r="M379" s="200"/>
      <c r="N379" s="178"/>
      <c r="O379" s="179"/>
      <c r="P379" s="178"/>
      <c r="Q379" s="180"/>
      <c r="R379" s="181"/>
      <c r="S379" s="182"/>
      <c r="W379" s="131"/>
    </row>
    <row r="380" spans="1:23" s="60" customFormat="1" ht="13.5" customHeight="1">
      <c r="A380" s="144"/>
      <c r="B380" s="194"/>
      <c r="C380" s="145"/>
      <c r="D380" s="42" t="s">
        <v>330</v>
      </c>
      <c r="E380" s="42"/>
      <c r="F380" s="52">
        <f>988.18+329.39+14.59+4.86</f>
        <v>1337.0199999999998</v>
      </c>
      <c r="G380" s="47"/>
      <c r="H380" s="47"/>
      <c r="I380" s="186"/>
      <c r="J380" s="201"/>
      <c r="K380" s="176"/>
      <c r="L380" s="177"/>
      <c r="M380" s="178"/>
      <c r="N380" s="178"/>
      <c r="O380" s="179"/>
      <c r="P380" s="178"/>
      <c r="Q380" s="180"/>
      <c r="R380" s="181"/>
      <c r="S380" s="182"/>
      <c r="W380" s="131"/>
    </row>
    <row r="381" spans="1:23" s="61" customFormat="1" ht="13.5" customHeight="1">
      <c r="A381" s="202"/>
      <c r="B381" s="203"/>
      <c r="C381" s="203"/>
      <c r="D381" s="197" t="s">
        <v>635</v>
      </c>
      <c r="E381" s="204"/>
      <c r="F381" s="205">
        <f>((0.63/2)*(0.63/2)*3.141592654*(9+0.35))*8</f>
        <v>23.31699492576762</v>
      </c>
      <c r="G381" s="206"/>
      <c r="H381" s="207"/>
      <c r="I381" s="208"/>
      <c r="J381" s="131"/>
      <c r="K381" s="131"/>
      <c r="L381" s="60"/>
      <c r="M381" s="60"/>
      <c r="N381" s="60"/>
      <c r="O381" s="60"/>
      <c r="P381" s="60"/>
      <c r="Q381" s="60"/>
      <c r="R381" s="60"/>
      <c r="S381" s="60"/>
    </row>
    <row r="382" spans="1:23" s="61" customFormat="1" ht="13.5" customHeight="1">
      <c r="A382" s="202"/>
      <c r="B382" s="203"/>
      <c r="C382" s="203"/>
      <c r="D382" s="42" t="s">
        <v>636</v>
      </c>
      <c r="E382" s="128"/>
      <c r="F382" s="52">
        <f>((0.9/2)*(0.9/2)*3.141592654*(12+0.35))*8</f>
        <v>62.853844228578005</v>
      </c>
      <c r="G382" s="206"/>
      <c r="H382" s="207"/>
      <c r="I382" s="208"/>
      <c r="J382" s="60"/>
      <c r="K382" s="131"/>
      <c r="L382" s="60"/>
      <c r="M382" s="60"/>
      <c r="N382" s="60"/>
      <c r="O382" s="60"/>
      <c r="P382" s="60"/>
      <c r="Q382" s="60"/>
      <c r="R382" s="60"/>
      <c r="S382" s="60"/>
    </row>
    <row r="383" spans="1:23" s="61" customFormat="1" ht="13.5" customHeight="1">
      <c r="A383" s="202"/>
      <c r="B383" s="203"/>
      <c r="C383" s="203"/>
      <c r="D383" s="42" t="s">
        <v>637</v>
      </c>
      <c r="E383" s="128"/>
      <c r="F383" s="52">
        <f>((0.9/2)*(0.9/2)*3.141592654*(14+0.35))*6</f>
        <v>54.774453320653507</v>
      </c>
      <c r="G383" s="206"/>
      <c r="H383" s="207"/>
      <c r="I383" s="208"/>
      <c r="J383" s="60"/>
      <c r="K383" s="60"/>
      <c r="L383" s="60"/>
      <c r="M383" s="60"/>
      <c r="N383" s="60"/>
      <c r="O383" s="60"/>
      <c r="P383" s="60"/>
      <c r="Q383" s="60"/>
      <c r="R383" s="60"/>
      <c r="S383" s="60"/>
    </row>
    <row r="384" spans="1:23" s="61" customFormat="1" ht="13.5" customHeight="1">
      <c r="A384" s="202"/>
      <c r="B384" s="203"/>
      <c r="C384" s="203"/>
      <c r="D384" s="42" t="s">
        <v>638</v>
      </c>
      <c r="E384" s="127"/>
      <c r="F384" s="52">
        <f>((0.9/2)*(0.9/2)*3.141592654*(9+0.35))*2</f>
        <v>11.896425982534501</v>
      </c>
      <c r="G384" s="209"/>
      <c r="H384" s="209"/>
      <c r="I384" s="210"/>
      <c r="J384" s="60"/>
      <c r="K384" s="60"/>
      <c r="L384" s="60"/>
      <c r="M384" s="60"/>
      <c r="N384" s="60"/>
      <c r="O384" s="60"/>
      <c r="P384" s="60"/>
      <c r="Q384" s="60"/>
      <c r="R384" s="60"/>
      <c r="S384" s="60"/>
    </row>
    <row r="385" spans="1:23" s="61" customFormat="1" ht="13.5" customHeight="1">
      <c r="A385" s="202"/>
      <c r="B385" s="203"/>
      <c r="C385" s="203"/>
      <c r="D385" s="42" t="s">
        <v>639</v>
      </c>
      <c r="E385" s="127"/>
      <c r="F385" s="52">
        <f>((0.9/2)*(0.9/2)*3.141592654*(20+0.35))*4</f>
        <v>51.784442512209012</v>
      </c>
      <c r="G385" s="209"/>
      <c r="H385" s="209"/>
      <c r="I385" s="210"/>
      <c r="J385" s="60"/>
      <c r="K385" s="60"/>
      <c r="L385" s="60"/>
      <c r="M385" s="60"/>
      <c r="N385" s="60"/>
      <c r="O385" s="60"/>
      <c r="P385" s="60"/>
      <c r="Q385" s="60"/>
      <c r="R385" s="60"/>
      <c r="S385" s="60"/>
    </row>
    <row r="386" spans="1:23" s="61" customFormat="1" ht="13.5" customHeight="1">
      <c r="A386" s="202"/>
      <c r="B386" s="203"/>
      <c r="C386" s="203"/>
      <c r="D386" s="42" t="s">
        <v>640</v>
      </c>
      <c r="E386" s="127"/>
      <c r="F386" s="52">
        <f>((0.63/2)*(0.63/2)*3.141592654*(20+0.35))*2</f>
        <v>12.687188415491207</v>
      </c>
      <c r="G386" s="209"/>
      <c r="H386" s="209"/>
      <c r="I386" s="210"/>
      <c r="J386" s="60"/>
      <c r="K386" s="60"/>
      <c r="L386" s="60"/>
      <c r="M386" s="60"/>
      <c r="N386" s="60"/>
      <c r="O386" s="60"/>
      <c r="P386" s="60"/>
      <c r="Q386" s="60"/>
      <c r="R386" s="60"/>
      <c r="S386" s="60"/>
    </row>
    <row r="387" spans="1:23" s="60" customFormat="1" ht="13.5" customHeight="1">
      <c r="A387" s="196" t="s">
        <v>739</v>
      </c>
      <c r="B387" s="46"/>
      <c r="C387" s="46"/>
      <c r="D387" s="42" t="s">
        <v>147</v>
      </c>
      <c r="E387" s="83" t="s">
        <v>27</v>
      </c>
      <c r="F387" s="52">
        <f>F378</f>
        <v>1554.3333493852338</v>
      </c>
      <c r="G387" s="37"/>
      <c r="H387" s="141">
        <f>F387*G387</f>
        <v>0</v>
      </c>
      <c r="I387" s="186"/>
      <c r="J387" s="211"/>
      <c r="K387" s="212"/>
      <c r="L387" s="212"/>
      <c r="M387" s="212"/>
      <c r="N387" s="212"/>
      <c r="Q387" s="212"/>
      <c r="R387" s="181"/>
      <c r="S387" s="182"/>
      <c r="W387" s="131"/>
    </row>
    <row r="388" spans="1:23" s="60" customFormat="1" ht="13.5" customHeight="1">
      <c r="A388" s="196" t="s">
        <v>740</v>
      </c>
      <c r="B388" s="46"/>
      <c r="C388" s="46"/>
      <c r="D388" s="42" t="s">
        <v>148</v>
      </c>
      <c r="E388" s="83" t="s">
        <v>27</v>
      </c>
      <c r="F388" s="52">
        <f>F378</f>
        <v>1554.3333493852338</v>
      </c>
      <c r="G388" s="37"/>
      <c r="H388" s="141">
        <f>F388*G388</f>
        <v>0</v>
      </c>
      <c r="I388" s="186"/>
      <c r="J388" s="211"/>
      <c r="K388" s="212"/>
      <c r="Q388" s="131"/>
      <c r="R388" s="213"/>
      <c r="S388" s="182"/>
      <c r="W388" s="131"/>
    </row>
    <row r="389" spans="1:23" s="60" customFormat="1" ht="13.5" customHeight="1">
      <c r="A389" s="196" t="s">
        <v>741</v>
      </c>
      <c r="B389" s="46"/>
      <c r="C389" s="46"/>
      <c r="D389" s="42" t="s">
        <v>149</v>
      </c>
      <c r="E389" s="83" t="s">
        <v>27</v>
      </c>
      <c r="F389" s="52">
        <f>F378</f>
        <v>1554.3333493852338</v>
      </c>
      <c r="G389" s="37"/>
      <c r="H389" s="141">
        <f>F389*G389</f>
        <v>0</v>
      </c>
      <c r="I389" s="186"/>
      <c r="J389" s="214"/>
      <c r="K389" s="211"/>
      <c r="L389" s="212"/>
      <c r="R389" s="131"/>
      <c r="S389" s="211"/>
      <c r="T389" s="212"/>
      <c r="W389" s="131"/>
    </row>
    <row r="390" spans="1:23" s="60" customFormat="1" ht="13.5" customHeight="1">
      <c r="A390" s="196" t="s">
        <v>742</v>
      </c>
      <c r="B390" s="46"/>
      <c r="C390" s="46"/>
      <c r="D390" s="42" t="s">
        <v>150</v>
      </c>
      <c r="E390" s="83" t="s">
        <v>27</v>
      </c>
      <c r="F390" s="52">
        <f>F378</f>
        <v>1554.3333493852338</v>
      </c>
      <c r="G390" s="37"/>
      <c r="H390" s="141">
        <f>F390*G390</f>
        <v>0</v>
      </c>
      <c r="I390" s="186"/>
      <c r="J390" s="214"/>
      <c r="K390" s="176"/>
      <c r="L390" s="215"/>
      <c r="M390" s="178"/>
      <c r="N390" s="178"/>
      <c r="O390" s="179"/>
      <c r="P390" s="178"/>
      <c r="Q390" s="180"/>
      <c r="R390" s="181"/>
      <c r="T390" s="182"/>
      <c r="W390" s="131"/>
    </row>
    <row r="391" spans="1:23" s="60" customFormat="1" ht="13.5" customHeight="1">
      <c r="A391" s="196" t="s">
        <v>743</v>
      </c>
      <c r="B391" s="46"/>
      <c r="C391" s="46"/>
      <c r="D391" s="42" t="s">
        <v>151</v>
      </c>
      <c r="E391" s="83" t="s">
        <v>27</v>
      </c>
      <c r="F391" s="52">
        <f>F378</f>
        <v>1554.3333493852338</v>
      </c>
      <c r="G391" s="37"/>
      <c r="H391" s="141">
        <f>F391*G391</f>
        <v>0</v>
      </c>
      <c r="I391" s="186"/>
      <c r="J391" s="216"/>
      <c r="K391" s="217"/>
      <c r="L391" s="148"/>
      <c r="M391" s="148"/>
      <c r="N391" s="148"/>
      <c r="Q391" s="212"/>
      <c r="R391" s="181"/>
      <c r="S391" s="182"/>
      <c r="W391" s="131"/>
    </row>
    <row r="392" spans="1:23" s="61" customFormat="1" ht="13.5" customHeight="1">
      <c r="A392" s="70"/>
      <c r="B392" s="71"/>
      <c r="C392" s="71" t="s">
        <v>22</v>
      </c>
      <c r="D392" s="71" t="s">
        <v>23</v>
      </c>
      <c r="E392" s="71"/>
      <c r="F392" s="173"/>
      <c r="G392" s="73"/>
      <c r="H392" s="73">
        <f>SUM(H393:H397)</f>
        <v>0</v>
      </c>
      <c r="I392" s="74"/>
      <c r="J392" s="60"/>
      <c r="K392" s="63"/>
      <c r="L392" s="60"/>
      <c r="M392" s="60"/>
      <c r="N392" s="60"/>
      <c r="O392" s="60"/>
      <c r="P392" s="60"/>
      <c r="Q392" s="60"/>
      <c r="R392" s="60"/>
      <c r="S392" s="60"/>
    </row>
    <row r="393" spans="1:23" s="61" customFormat="1" ht="13.5" customHeight="1">
      <c r="A393" s="218">
        <v>121</v>
      </c>
      <c r="B393" s="51" t="s">
        <v>559</v>
      </c>
      <c r="C393" s="54">
        <v>998001011</v>
      </c>
      <c r="D393" s="54" t="s">
        <v>632</v>
      </c>
      <c r="E393" s="219" t="s">
        <v>35</v>
      </c>
      <c r="F393" s="220">
        <v>576.41</v>
      </c>
      <c r="G393" s="4"/>
      <c r="H393" s="221">
        <f>F393*G393</f>
        <v>0</v>
      </c>
      <c r="I393" s="78" t="s">
        <v>183</v>
      </c>
      <c r="J393" s="122"/>
      <c r="K393" s="60"/>
      <c r="L393" s="60"/>
      <c r="M393" s="60"/>
      <c r="N393" s="60"/>
      <c r="O393" s="60"/>
      <c r="P393" s="60"/>
      <c r="Q393" s="60"/>
      <c r="R393" s="60"/>
      <c r="S393" s="60"/>
    </row>
    <row r="394" spans="1:23" s="84" customFormat="1" ht="13.5" customHeight="1">
      <c r="A394" s="82" t="s">
        <v>705</v>
      </c>
      <c r="B394" s="51" t="s">
        <v>98</v>
      </c>
      <c r="C394" s="46">
        <v>998012022</v>
      </c>
      <c r="D394" s="46" t="s">
        <v>131</v>
      </c>
      <c r="E394" s="46" t="s">
        <v>35</v>
      </c>
      <c r="F394" s="50">
        <v>3225.6350000000002</v>
      </c>
      <c r="G394" s="11"/>
      <c r="H394" s="47">
        <f>F394*G394</f>
        <v>0</v>
      </c>
      <c r="I394" s="48" t="s">
        <v>183</v>
      </c>
      <c r="J394" s="60"/>
      <c r="K394" s="63"/>
    </row>
    <row r="395" spans="1:23" s="84" customFormat="1" ht="13.5" customHeight="1">
      <c r="A395" s="222" t="s">
        <v>706</v>
      </c>
      <c r="B395" s="223" t="s">
        <v>685</v>
      </c>
      <c r="C395" s="54" t="s">
        <v>695</v>
      </c>
      <c r="D395" s="54" t="s">
        <v>686</v>
      </c>
      <c r="E395" s="54" t="s">
        <v>61</v>
      </c>
      <c r="F395" s="192">
        <v>1</v>
      </c>
      <c r="G395" s="4"/>
      <c r="H395" s="77">
        <f>F395*G395</f>
        <v>0</v>
      </c>
      <c r="I395" s="78" t="s">
        <v>192</v>
      </c>
      <c r="K395" s="63"/>
    </row>
    <row r="396" spans="1:23" s="224" customFormat="1" ht="13.5" customHeight="1">
      <c r="A396" s="82" t="s">
        <v>744</v>
      </c>
      <c r="B396" s="46" t="s">
        <v>138</v>
      </c>
      <c r="C396" s="46" t="s">
        <v>30</v>
      </c>
      <c r="D396" s="46" t="s">
        <v>31</v>
      </c>
      <c r="E396" s="46" t="s">
        <v>28</v>
      </c>
      <c r="F396" s="50">
        <f>F397</f>
        <v>200</v>
      </c>
      <c r="G396" s="11"/>
      <c r="H396" s="47">
        <f>F396*G396</f>
        <v>0</v>
      </c>
      <c r="I396" s="48" t="s">
        <v>183</v>
      </c>
      <c r="J396" s="60"/>
      <c r="K396" s="63"/>
      <c r="L396" s="131"/>
      <c r="M396" s="131"/>
      <c r="N396" s="131"/>
      <c r="O396" s="131"/>
      <c r="P396" s="131"/>
      <c r="Q396" s="131"/>
      <c r="R396" s="131"/>
      <c r="S396" s="131"/>
    </row>
    <row r="397" spans="1:23" s="84" customFormat="1" ht="24" customHeight="1">
      <c r="A397" s="45"/>
      <c r="B397" s="51"/>
      <c r="C397" s="46"/>
      <c r="D397" s="115" t="s">
        <v>29</v>
      </c>
      <c r="E397" s="46"/>
      <c r="F397" s="52">
        <v>200</v>
      </c>
      <c r="G397" s="47"/>
      <c r="H397" s="47"/>
      <c r="I397" s="48"/>
      <c r="K397" s="63"/>
    </row>
    <row r="398" spans="1:23" s="61" customFormat="1" ht="21" customHeight="1">
      <c r="A398" s="70"/>
      <c r="B398" s="71"/>
      <c r="C398" s="71" t="s">
        <v>41</v>
      </c>
      <c r="D398" s="71" t="s">
        <v>42</v>
      </c>
      <c r="E398" s="71"/>
      <c r="F398" s="72"/>
      <c r="G398" s="73"/>
      <c r="H398" s="73">
        <f>H399+H423+H452+H513+H540+H553+H580+H591+H601</f>
        <v>0</v>
      </c>
      <c r="I398" s="74"/>
      <c r="J398" s="60"/>
      <c r="K398" s="60"/>
      <c r="L398" s="225"/>
      <c r="M398" s="60"/>
      <c r="N398" s="60"/>
      <c r="O398" s="60"/>
      <c r="P398" s="60"/>
      <c r="Q398" s="60"/>
      <c r="R398" s="60"/>
      <c r="S398" s="60"/>
    </row>
    <row r="399" spans="1:23" s="61" customFormat="1" ht="13.5" customHeight="1">
      <c r="A399" s="111"/>
      <c r="B399" s="112"/>
      <c r="C399" s="112" t="s">
        <v>43</v>
      </c>
      <c r="D399" s="112" t="s">
        <v>44</v>
      </c>
      <c r="E399" s="112"/>
      <c r="F399" s="113"/>
      <c r="G399" s="73"/>
      <c r="H399" s="226">
        <f>SUM(H400,H412,H419:H422)</f>
        <v>0</v>
      </c>
      <c r="I399" s="74"/>
      <c r="J399" s="60"/>
      <c r="K399" s="60"/>
      <c r="L399" s="225"/>
      <c r="M399" s="60"/>
      <c r="N399" s="60"/>
      <c r="O399" s="60"/>
      <c r="P399" s="60"/>
      <c r="Q399" s="60"/>
      <c r="R399" s="60"/>
      <c r="S399" s="60"/>
      <c r="T399" s="60"/>
    </row>
    <row r="400" spans="1:23" s="224" customFormat="1" ht="13.5" customHeight="1">
      <c r="A400" s="45">
        <v>125</v>
      </c>
      <c r="B400" s="46">
        <v>711</v>
      </c>
      <c r="C400" s="46" t="s">
        <v>45</v>
      </c>
      <c r="D400" s="46" t="s">
        <v>152</v>
      </c>
      <c r="E400" s="46" t="s">
        <v>21</v>
      </c>
      <c r="F400" s="50">
        <f>SUM(F405:F411)</f>
        <v>741.69749999999988</v>
      </c>
      <c r="G400" s="183">
        <f>SUM(H402:H403)/F400</f>
        <v>0</v>
      </c>
      <c r="H400" s="47">
        <f>F400*G400</f>
        <v>0</v>
      </c>
      <c r="I400" s="48" t="s">
        <v>192</v>
      </c>
      <c r="J400" s="60"/>
      <c r="K400" s="184"/>
      <c r="L400" s="184"/>
      <c r="M400" s="131"/>
      <c r="N400" s="131"/>
      <c r="O400" s="131"/>
      <c r="P400" s="131"/>
      <c r="Q400" s="131"/>
      <c r="R400" s="131"/>
      <c r="S400" s="131"/>
      <c r="T400" s="131"/>
    </row>
    <row r="401" spans="1:19" s="60" customFormat="1" ht="25.5" customHeight="1">
      <c r="A401" s="186"/>
      <c r="B401" s="51"/>
      <c r="C401" s="46"/>
      <c r="D401" s="42" t="s">
        <v>153</v>
      </c>
      <c r="E401" s="186"/>
      <c r="F401" s="52"/>
      <c r="G401" s="227"/>
      <c r="H401" s="227"/>
      <c r="I401" s="48"/>
      <c r="J401" s="187"/>
      <c r="N401" s="81"/>
    </row>
    <row r="402" spans="1:19" s="60" customFormat="1" ht="13.5" customHeight="1">
      <c r="A402" s="196" t="s">
        <v>707</v>
      </c>
      <c r="B402" s="51"/>
      <c r="C402" s="46"/>
      <c r="D402" s="42" t="s">
        <v>270</v>
      </c>
      <c r="E402" s="83" t="s">
        <v>21</v>
      </c>
      <c r="F402" s="52">
        <v>741.7</v>
      </c>
      <c r="G402" s="9"/>
      <c r="H402" s="227">
        <f>F402*G402</f>
        <v>0</v>
      </c>
      <c r="I402" s="48"/>
      <c r="J402" s="216"/>
      <c r="K402" s="217"/>
      <c r="Q402" s="97"/>
    </row>
    <row r="403" spans="1:19" s="60" customFormat="1" ht="13.5" customHeight="1">
      <c r="A403" s="196" t="s">
        <v>708</v>
      </c>
      <c r="B403" s="51"/>
      <c r="C403" s="46"/>
      <c r="D403" s="42" t="s">
        <v>271</v>
      </c>
      <c r="E403" s="83" t="s">
        <v>21</v>
      </c>
      <c r="F403" s="52">
        <v>852.96</v>
      </c>
      <c r="G403" s="9"/>
      <c r="H403" s="227">
        <f>F403*G403</f>
        <v>0</v>
      </c>
      <c r="I403" s="48"/>
      <c r="J403" s="216"/>
      <c r="K403" s="217"/>
      <c r="Q403" s="97"/>
    </row>
    <row r="404" spans="1:19" s="60" customFormat="1" ht="39.75" customHeight="1">
      <c r="A404" s="82"/>
      <c r="B404" s="51"/>
      <c r="C404" s="46"/>
      <c r="D404" s="42" t="s">
        <v>46</v>
      </c>
      <c r="E404" s="46"/>
      <c r="F404" s="52"/>
      <c r="G404" s="47"/>
      <c r="H404" s="47"/>
      <c r="I404" s="48"/>
      <c r="K404" s="228"/>
    </row>
    <row r="405" spans="1:19" s="60" customFormat="1" ht="13.5" customHeight="1">
      <c r="A405" s="82"/>
      <c r="B405" s="51"/>
      <c r="C405" s="46"/>
      <c r="D405" s="42" t="s">
        <v>365</v>
      </c>
      <c r="E405" s="46"/>
      <c r="F405" s="52">
        <f>3.2*(19.75+20.75)</f>
        <v>129.6</v>
      </c>
      <c r="G405" s="47"/>
      <c r="H405" s="47"/>
      <c r="I405" s="48"/>
    </row>
    <row r="406" spans="1:19" s="60" customFormat="1" ht="13.5" customHeight="1">
      <c r="A406" s="82"/>
      <c r="B406" s="51"/>
      <c r="C406" s="46"/>
      <c r="D406" s="42" t="s">
        <v>364</v>
      </c>
      <c r="E406" s="46"/>
      <c r="F406" s="52">
        <f>421.25</f>
        <v>421.25</v>
      </c>
      <c r="G406" s="47"/>
      <c r="H406" s="47"/>
      <c r="I406" s="48"/>
      <c r="J406" s="229"/>
    </row>
    <row r="407" spans="1:19" s="60" customFormat="1" ht="13.5" customHeight="1">
      <c r="A407" s="82"/>
      <c r="B407" s="51"/>
      <c r="C407" s="46"/>
      <c r="D407" s="42" t="s">
        <v>468</v>
      </c>
      <c r="E407" s="46"/>
      <c r="F407" s="52">
        <f>0.45*26.65</f>
        <v>11.9925</v>
      </c>
      <c r="G407" s="47"/>
      <c r="H407" s="47"/>
      <c r="I407" s="48"/>
      <c r="J407" s="81"/>
    </row>
    <row r="408" spans="1:19" s="60" customFormat="1" ht="13.5" customHeight="1">
      <c r="A408" s="82"/>
      <c r="B408" s="51"/>
      <c r="C408" s="46"/>
      <c r="D408" s="42" t="s">
        <v>469</v>
      </c>
      <c r="E408" s="46"/>
      <c r="F408" s="52">
        <f>0.75*45.4</f>
        <v>34.049999999999997</v>
      </c>
      <c r="G408" s="47"/>
      <c r="H408" s="47"/>
      <c r="I408" s="48"/>
    </row>
    <row r="409" spans="1:19" s="60" customFormat="1" ht="13.5" customHeight="1">
      <c r="A409" s="82"/>
      <c r="B409" s="51"/>
      <c r="C409" s="46"/>
      <c r="D409" s="42" t="s">
        <v>470</v>
      </c>
      <c r="E409" s="46"/>
      <c r="F409" s="52">
        <f>1.51*(10.4*2+8.1*2+2.75*2)</f>
        <v>64.174999999999997</v>
      </c>
      <c r="G409" s="47"/>
      <c r="H409" s="47"/>
      <c r="I409" s="48"/>
    </row>
    <row r="410" spans="1:19" s="60" customFormat="1" ht="13.5" customHeight="1">
      <c r="A410" s="82"/>
      <c r="B410" s="51"/>
      <c r="C410" s="46"/>
      <c r="D410" s="42" t="s">
        <v>472</v>
      </c>
      <c r="E410" s="46"/>
      <c r="F410" s="52">
        <f>0.4*(22.85*2+33.35*2+30.4*2)</f>
        <v>69.28</v>
      </c>
      <c r="G410" s="47"/>
      <c r="H410" s="47"/>
      <c r="I410" s="48"/>
    </row>
    <row r="411" spans="1:19" s="60" customFormat="1" ht="13.5" customHeight="1">
      <c r="A411" s="82"/>
      <c r="B411" s="51"/>
      <c r="C411" s="46"/>
      <c r="D411" s="42" t="s">
        <v>478</v>
      </c>
      <c r="E411" s="46"/>
      <c r="F411" s="52">
        <f>0.25*(45.4)</f>
        <v>11.35</v>
      </c>
      <c r="G411" s="47"/>
      <c r="H411" s="47"/>
      <c r="I411" s="48"/>
    </row>
    <row r="412" spans="1:19" s="168" customFormat="1" ht="27" customHeight="1">
      <c r="A412" s="82" t="s">
        <v>745</v>
      </c>
      <c r="B412" s="51" t="s">
        <v>43</v>
      </c>
      <c r="C412" s="46" t="s">
        <v>170</v>
      </c>
      <c r="D412" s="46" t="s">
        <v>466</v>
      </c>
      <c r="E412" s="46" t="s">
        <v>21</v>
      </c>
      <c r="F412" s="50">
        <f>F417</f>
        <v>170.70399999999998</v>
      </c>
      <c r="G412" s="183">
        <f>SUM(H414:H416)/F412</f>
        <v>0</v>
      </c>
      <c r="H412" s="47">
        <f>F412*G412</f>
        <v>0</v>
      </c>
      <c r="I412" s="48" t="s">
        <v>192</v>
      </c>
      <c r="J412" s="136"/>
      <c r="K412" s="136"/>
      <c r="L412" s="136"/>
      <c r="M412" s="136"/>
      <c r="N412" s="136"/>
      <c r="O412" s="136"/>
      <c r="P412" s="136"/>
      <c r="Q412" s="136"/>
      <c r="R412" s="136"/>
      <c r="S412" s="136"/>
    </row>
    <row r="413" spans="1:19" s="168" customFormat="1" ht="13.5" customHeight="1">
      <c r="A413" s="45"/>
      <c r="B413" s="46"/>
      <c r="C413" s="46"/>
      <c r="D413" s="42" t="s">
        <v>467</v>
      </c>
      <c r="E413" s="46"/>
      <c r="F413" s="52"/>
      <c r="G413" s="47"/>
      <c r="H413" s="47"/>
      <c r="I413" s="48"/>
      <c r="J413" s="136"/>
      <c r="K413" s="136"/>
      <c r="L413" s="136"/>
      <c r="M413" s="136"/>
      <c r="N413" s="136"/>
      <c r="O413" s="136"/>
      <c r="P413" s="136"/>
      <c r="Q413" s="136"/>
      <c r="R413" s="136"/>
      <c r="S413" s="136"/>
    </row>
    <row r="414" spans="1:19" s="168" customFormat="1" ht="13.5" customHeight="1">
      <c r="A414" s="196" t="s">
        <v>746</v>
      </c>
      <c r="B414" s="46"/>
      <c r="C414" s="46"/>
      <c r="D414" s="42" t="s">
        <v>463</v>
      </c>
      <c r="E414" s="83" t="s">
        <v>21</v>
      </c>
      <c r="F414" s="52">
        <v>196.31</v>
      </c>
      <c r="G414" s="10"/>
      <c r="H414" s="205">
        <f>F414*G414</f>
        <v>0</v>
      </c>
      <c r="I414" s="78"/>
      <c r="J414" s="136"/>
      <c r="K414" s="136"/>
      <c r="L414" s="136"/>
      <c r="M414" s="136"/>
      <c r="N414" s="136"/>
      <c r="O414" s="136"/>
      <c r="P414" s="136"/>
      <c r="Q414" s="136"/>
      <c r="R414" s="136"/>
      <c r="S414" s="136"/>
    </row>
    <row r="415" spans="1:19" s="168" customFormat="1" ht="13.5" customHeight="1">
      <c r="A415" s="196" t="s">
        <v>747</v>
      </c>
      <c r="B415" s="46"/>
      <c r="C415" s="46"/>
      <c r="D415" s="42" t="s">
        <v>464</v>
      </c>
      <c r="E415" s="83" t="s">
        <v>21</v>
      </c>
      <c r="F415" s="52">
        <v>196.31</v>
      </c>
      <c r="G415" s="10"/>
      <c r="H415" s="205">
        <f>F415*G415</f>
        <v>0</v>
      </c>
      <c r="I415" s="78"/>
      <c r="J415" s="136"/>
      <c r="K415" s="136"/>
      <c r="L415" s="136"/>
      <c r="M415" s="136"/>
      <c r="N415" s="136"/>
      <c r="O415" s="136"/>
      <c r="P415" s="136"/>
      <c r="Q415" s="136"/>
      <c r="R415" s="136"/>
      <c r="S415" s="136"/>
    </row>
    <row r="416" spans="1:19" s="168" customFormat="1" ht="13.5" customHeight="1">
      <c r="A416" s="196" t="s">
        <v>709</v>
      </c>
      <c r="B416" s="46"/>
      <c r="C416" s="46"/>
      <c r="D416" s="42" t="s">
        <v>465</v>
      </c>
      <c r="E416" s="83" t="s">
        <v>21</v>
      </c>
      <c r="F416" s="52">
        <v>196.31</v>
      </c>
      <c r="G416" s="10"/>
      <c r="H416" s="205">
        <f>F416*G416</f>
        <v>0</v>
      </c>
      <c r="I416" s="78"/>
      <c r="J416" s="136"/>
      <c r="K416" s="136"/>
      <c r="L416" s="136"/>
      <c r="M416" s="136"/>
      <c r="N416" s="136"/>
      <c r="O416" s="136"/>
      <c r="P416" s="136"/>
      <c r="Q416" s="136"/>
      <c r="R416" s="136"/>
      <c r="S416" s="136"/>
    </row>
    <row r="417" spans="1:36" s="168" customFormat="1" ht="13.5" customHeight="1">
      <c r="A417" s="45"/>
      <c r="B417" s="46"/>
      <c r="C417" s="46"/>
      <c r="D417" s="42" t="s">
        <v>462</v>
      </c>
      <c r="E417" s="46"/>
      <c r="F417" s="52">
        <f>(2.26*45.4+1.5*45.4)</f>
        <v>170.70399999999998</v>
      </c>
      <c r="G417" s="47"/>
      <c r="H417" s="47"/>
      <c r="I417" s="48"/>
      <c r="J417" s="136"/>
      <c r="K417" s="136"/>
      <c r="L417" s="136"/>
      <c r="M417" s="136"/>
      <c r="N417" s="136"/>
      <c r="O417" s="136"/>
      <c r="P417" s="136"/>
      <c r="Q417" s="136"/>
      <c r="R417" s="136"/>
      <c r="S417" s="136"/>
    </row>
    <row r="418" spans="1:36" s="168" customFormat="1" ht="13.5" customHeight="1">
      <c r="A418" s="45"/>
      <c r="B418" s="46"/>
      <c r="C418" s="46"/>
      <c r="D418" s="42" t="s">
        <v>461</v>
      </c>
      <c r="E418" s="46"/>
      <c r="F418" s="52"/>
      <c r="G418" s="47"/>
      <c r="H418" s="47"/>
      <c r="I418" s="48"/>
      <c r="J418" s="136"/>
      <c r="K418" s="136"/>
      <c r="L418" s="136"/>
      <c r="M418" s="136"/>
      <c r="N418" s="136"/>
      <c r="O418" s="136"/>
      <c r="P418" s="136"/>
      <c r="Q418" s="136"/>
      <c r="R418" s="136"/>
      <c r="S418" s="136"/>
    </row>
    <row r="419" spans="1:36" s="64" customFormat="1" ht="13.5" customHeight="1">
      <c r="A419" s="45">
        <v>127</v>
      </c>
      <c r="B419" s="51" t="s">
        <v>43</v>
      </c>
      <c r="C419" s="46">
        <v>998711202</v>
      </c>
      <c r="D419" s="46" t="s">
        <v>54</v>
      </c>
      <c r="E419" s="46" t="s">
        <v>47</v>
      </c>
      <c r="F419" s="50">
        <v>3.21</v>
      </c>
      <c r="G419" s="11"/>
      <c r="H419" s="47">
        <f>F419*G419</f>
        <v>0</v>
      </c>
      <c r="I419" s="48" t="s">
        <v>183</v>
      </c>
      <c r="J419" s="122"/>
      <c r="K419" s="60"/>
      <c r="L419" s="60"/>
      <c r="M419" s="60"/>
      <c r="N419" s="60"/>
      <c r="O419" s="60"/>
      <c r="P419" s="60"/>
      <c r="Q419" s="60"/>
      <c r="R419" s="60"/>
      <c r="S419" s="60"/>
    </row>
    <row r="420" spans="1:36" s="153" customFormat="1" ht="13.5" customHeight="1">
      <c r="A420" s="45">
        <v>128</v>
      </c>
      <c r="B420" s="46" t="s">
        <v>138</v>
      </c>
      <c r="C420" s="46" t="s">
        <v>48</v>
      </c>
      <c r="D420" s="46" t="s">
        <v>49</v>
      </c>
      <c r="E420" s="46" t="s">
        <v>28</v>
      </c>
      <c r="F420" s="50">
        <f>F421</f>
        <v>20</v>
      </c>
      <c r="G420" s="11"/>
      <c r="H420" s="47">
        <f>F420*G420</f>
        <v>0</v>
      </c>
      <c r="I420" s="48" t="s">
        <v>183</v>
      </c>
      <c r="J420" s="84"/>
      <c r="K420" s="84"/>
      <c r="L420" s="84"/>
      <c r="M420" s="84"/>
      <c r="N420" s="84"/>
      <c r="O420" s="84"/>
      <c r="P420" s="84"/>
      <c r="Q420" s="84"/>
      <c r="R420" s="84"/>
      <c r="S420" s="84"/>
    </row>
    <row r="421" spans="1:36" s="61" customFormat="1" ht="13.5" customHeight="1">
      <c r="A421" s="144"/>
      <c r="B421" s="145"/>
      <c r="C421" s="145"/>
      <c r="D421" s="42" t="s">
        <v>268</v>
      </c>
      <c r="E421" s="145"/>
      <c r="F421" s="52">
        <v>20</v>
      </c>
      <c r="G421" s="147"/>
      <c r="H421" s="47"/>
      <c r="I421" s="186"/>
      <c r="J421" s="84"/>
      <c r="K421" s="84"/>
      <c r="L421" s="60"/>
      <c r="M421" s="60"/>
      <c r="N421" s="60"/>
      <c r="O421" s="60"/>
      <c r="P421" s="60"/>
      <c r="Q421" s="60"/>
      <c r="R421" s="60"/>
      <c r="S421" s="60"/>
    </row>
    <row r="422" spans="1:36" s="61" customFormat="1" ht="13.5" customHeight="1">
      <c r="A422" s="144"/>
      <c r="B422" s="145"/>
      <c r="C422" s="145"/>
      <c r="D422" s="42" t="s">
        <v>269</v>
      </c>
      <c r="E422" s="145"/>
      <c r="F422" s="52"/>
      <c r="G422" s="147"/>
      <c r="H422" s="47"/>
      <c r="I422" s="186"/>
      <c r="J422" s="60"/>
      <c r="K422" s="60"/>
      <c r="L422" s="60"/>
      <c r="M422" s="60"/>
      <c r="N422" s="60"/>
      <c r="O422" s="60"/>
      <c r="P422" s="60"/>
      <c r="Q422" s="60"/>
      <c r="R422" s="60"/>
      <c r="S422" s="60"/>
    </row>
    <row r="423" spans="1:36" s="63" customFormat="1" ht="13.5" customHeight="1">
      <c r="A423" s="111"/>
      <c r="B423" s="112"/>
      <c r="C423" s="230">
        <v>712</v>
      </c>
      <c r="D423" s="230" t="s">
        <v>135</v>
      </c>
      <c r="E423" s="112"/>
      <c r="F423" s="113"/>
      <c r="G423" s="114"/>
      <c r="H423" s="114">
        <f>SUM(H424,H435,H443,H448:H451)</f>
        <v>0</v>
      </c>
      <c r="I423" s="186"/>
      <c r="J423" s="136"/>
      <c r="L423" s="225"/>
    </row>
    <row r="424" spans="1:36" s="61" customFormat="1" ht="27" customHeight="1">
      <c r="A424" s="82" t="s">
        <v>710</v>
      </c>
      <c r="B424" s="51" t="s">
        <v>136</v>
      </c>
      <c r="C424" s="46" t="s">
        <v>233</v>
      </c>
      <c r="D424" s="46" t="s">
        <v>375</v>
      </c>
      <c r="E424" s="46" t="s">
        <v>21</v>
      </c>
      <c r="F424" s="50">
        <f>F434</f>
        <v>461.61</v>
      </c>
      <c r="G424" s="183">
        <f>SUM(H426:H432)/F424</f>
        <v>0</v>
      </c>
      <c r="H424" s="47">
        <f>F424*G424</f>
        <v>0</v>
      </c>
      <c r="I424" s="48" t="s">
        <v>192</v>
      </c>
      <c r="J424" s="60"/>
      <c r="K424" s="60"/>
      <c r="L424" s="60"/>
      <c r="M424" s="60"/>
      <c r="N424" s="60"/>
      <c r="O424" s="60"/>
      <c r="P424" s="60"/>
      <c r="Q424" s="60"/>
      <c r="R424" s="60"/>
      <c r="S424" s="60"/>
      <c r="T424" s="60"/>
      <c r="U424" s="60"/>
      <c r="V424" s="60"/>
      <c r="W424" s="60"/>
      <c r="X424" s="60"/>
      <c r="Y424" s="60"/>
      <c r="Z424" s="60"/>
      <c r="AA424" s="60"/>
      <c r="AB424" s="60"/>
      <c r="AC424" s="60"/>
      <c r="AD424" s="60"/>
      <c r="AE424" s="60"/>
      <c r="AF424" s="60"/>
      <c r="AG424" s="60"/>
      <c r="AH424" s="60"/>
      <c r="AI424" s="60"/>
      <c r="AJ424" s="60"/>
    </row>
    <row r="425" spans="1:36" s="60" customFormat="1" ht="13.5" customHeight="1">
      <c r="A425" s="82"/>
      <c r="B425" s="51"/>
      <c r="C425" s="46"/>
      <c r="D425" s="42" t="s">
        <v>53</v>
      </c>
      <c r="E425" s="46"/>
      <c r="F425" s="52"/>
      <c r="G425" s="47"/>
      <c r="H425" s="47"/>
      <c r="I425" s="48"/>
    </row>
    <row r="426" spans="1:36" s="60" customFormat="1" ht="13.5" customHeight="1">
      <c r="A426" s="196" t="s">
        <v>711</v>
      </c>
      <c r="B426" s="51"/>
      <c r="C426" s="46"/>
      <c r="D426" s="42" t="s">
        <v>245</v>
      </c>
      <c r="E426" s="83" t="s">
        <v>27</v>
      </c>
      <c r="F426" s="52">
        <v>24.23</v>
      </c>
      <c r="G426" s="9"/>
      <c r="H426" s="141">
        <f t="shared" ref="H426:H427" si="1">F426*G426</f>
        <v>0</v>
      </c>
      <c r="I426" s="48"/>
      <c r="J426" s="231"/>
    </row>
    <row r="427" spans="1:36" s="153" customFormat="1" ht="13.5" customHeight="1">
      <c r="A427" s="196" t="s">
        <v>712</v>
      </c>
      <c r="B427" s="51"/>
      <c r="C427" s="46"/>
      <c r="D427" s="42" t="s">
        <v>244</v>
      </c>
      <c r="E427" s="83" t="s">
        <v>21</v>
      </c>
      <c r="F427" s="52">
        <v>530.61</v>
      </c>
      <c r="G427" s="9"/>
      <c r="H427" s="141">
        <f t="shared" si="1"/>
        <v>0</v>
      </c>
      <c r="I427" s="47"/>
      <c r="J427" s="232"/>
      <c r="K427" s="84"/>
      <c r="L427" s="84"/>
      <c r="M427" s="84"/>
      <c r="N427" s="84"/>
      <c r="O427" s="84"/>
      <c r="P427" s="84"/>
      <c r="Q427" s="84"/>
      <c r="R427" s="84"/>
      <c r="S427" s="84"/>
      <c r="T427" s="84"/>
      <c r="U427" s="84"/>
      <c r="V427" s="84"/>
      <c r="W427" s="84"/>
      <c r="X427" s="84"/>
      <c r="Y427" s="84"/>
      <c r="Z427" s="84"/>
      <c r="AA427" s="84"/>
      <c r="AB427" s="84"/>
      <c r="AC427" s="84"/>
      <c r="AD427" s="84"/>
      <c r="AE427" s="84"/>
      <c r="AF427" s="84"/>
      <c r="AG427" s="84"/>
      <c r="AH427" s="84"/>
      <c r="AI427" s="84"/>
      <c r="AJ427" s="84"/>
    </row>
    <row r="428" spans="1:36" s="153" customFormat="1" ht="13.5" customHeight="1">
      <c r="A428" s="196" t="s">
        <v>748</v>
      </c>
      <c r="B428" s="51"/>
      <c r="C428" s="46"/>
      <c r="D428" s="42" t="s">
        <v>243</v>
      </c>
      <c r="E428" s="83"/>
      <c r="F428" s="52">
        <v>530.61</v>
      </c>
      <c r="G428" s="9"/>
      <c r="H428" s="141"/>
      <c r="I428" s="47"/>
      <c r="J428" s="232"/>
      <c r="K428" s="84"/>
      <c r="L428" s="84"/>
      <c r="M428" s="84"/>
      <c r="N428" s="84"/>
      <c r="O428" s="84"/>
      <c r="P428" s="84"/>
      <c r="Q428" s="84"/>
      <c r="R428" s="84"/>
      <c r="S428" s="84"/>
      <c r="T428" s="84"/>
      <c r="U428" s="84"/>
      <c r="V428" s="84"/>
      <c r="W428" s="84"/>
      <c r="X428" s="84"/>
      <c r="Y428" s="84"/>
      <c r="Z428" s="84"/>
      <c r="AA428" s="84"/>
      <c r="AB428" s="84"/>
      <c r="AC428" s="84"/>
      <c r="AD428" s="84"/>
      <c r="AE428" s="84"/>
      <c r="AF428" s="84"/>
      <c r="AG428" s="84"/>
      <c r="AH428" s="84"/>
      <c r="AI428" s="84"/>
      <c r="AJ428" s="84"/>
    </row>
    <row r="429" spans="1:36" s="153" customFormat="1" ht="27" customHeight="1">
      <c r="A429" s="196" t="s">
        <v>749</v>
      </c>
      <c r="B429" s="51"/>
      <c r="C429" s="46"/>
      <c r="D429" s="83" t="s">
        <v>333</v>
      </c>
      <c r="E429" s="83" t="s">
        <v>21</v>
      </c>
      <c r="F429" s="52">
        <v>507.54</v>
      </c>
      <c r="G429" s="9"/>
      <c r="H429" s="141">
        <f t="shared" ref="H429:H432" si="2">F429*G429</f>
        <v>0</v>
      </c>
      <c r="I429" s="47"/>
      <c r="J429" s="231"/>
      <c r="K429" s="84"/>
      <c r="L429" s="84"/>
      <c r="M429" s="84"/>
      <c r="N429" s="84"/>
      <c r="O429" s="84"/>
      <c r="P429" s="84"/>
      <c r="Q429" s="84"/>
      <c r="R429" s="84"/>
      <c r="S429" s="84"/>
      <c r="T429" s="84"/>
      <c r="U429" s="84"/>
      <c r="V429" s="84"/>
      <c r="W429" s="84"/>
      <c r="X429" s="84"/>
      <c r="Y429" s="84"/>
      <c r="Z429" s="84"/>
      <c r="AA429" s="84"/>
      <c r="AB429" s="84"/>
      <c r="AC429" s="84"/>
      <c r="AD429" s="84"/>
      <c r="AE429" s="84"/>
      <c r="AF429" s="84"/>
      <c r="AG429" s="84"/>
      <c r="AH429" s="84"/>
      <c r="AI429" s="84"/>
      <c r="AJ429" s="84"/>
    </row>
    <row r="430" spans="1:36" s="153" customFormat="1" ht="28.5" customHeight="1">
      <c r="A430" s="196" t="s">
        <v>750</v>
      </c>
      <c r="B430" s="51"/>
      <c r="C430" s="46"/>
      <c r="D430" s="83" t="s">
        <v>332</v>
      </c>
      <c r="E430" s="83" t="s">
        <v>21</v>
      </c>
      <c r="F430" s="52">
        <v>507.54</v>
      </c>
      <c r="G430" s="9"/>
      <c r="H430" s="141">
        <f t="shared" si="2"/>
        <v>0</v>
      </c>
      <c r="I430" s="47"/>
      <c r="J430" s="154"/>
      <c r="K430" s="233"/>
      <c r="L430" s="84"/>
      <c r="M430" s="84"/>
      <c r="N430" s="84"/>
      <c r="O430" s="84"/>
      <c r="P430" s="84"/>
      <c r="Q430" s="84"/>
      <c r="R430" s="84"/>
      <c r="S430" s="84"/>
      <c r="T430" s="84"/>
      <c r="U430" s="84"/>
      <c r="V430" s="84"/>
      <c r="W430" s="84"/>
      <c r="X430" s="84"/>
      <c r="Y430" s="84"/>
      <c r="Z430" s="84"/>
      <c r="AA430" s="84"/>
      <c r="AB430" s="84"/>
      <c r="AC430" s="84"/>
      <c r="AD430" s="84"/>
      <c r="AE430" s="84"/>
      <c r="AF430" s="84"/>
      <c r="AG430" s="84"/>
      <c r="AH430" s="84"/>
      <c r="AI430" s="84"/>
      <c r="AJ430" s="84"/>
    </row>
    <row r="431" spans="1:36" s="153" customFormat="1" ht="27" customHeight="1">
      <c r="A431" s="196" t="s">
        <v>751</v>
      </c>
      <c r="B431" s="51"/>
      <c r="C431" s="46"/>
      <c r="D431" s="42" t="s">
        <v>331</v>
      </c>
      <c r="E431" s="83" t="s">
        <v>21</v>
      </c>
      <c r="F431" s="52">
        <v>530.61</v>
      </c>
      <c r="G431" s="9"/>
      <c r="H431" s="141">
        <f t="shared" si="2"/>
        <v>0</v>
      </c>
      <c r="I431" s="47"/>
      <c r="J431" s="234"/>
      <c r="K431" s="233"/>
      <c r="L431" s="84"/>
      <c r="M431" s="84"/>
      <c r="N431" s="84"/>
      <c r="O431" s="84"/>
      <c r="P431" s="84"/>
      <c r="Q431" s="84"/>
      <c r="R431" s="84"/>
      <c r="S431" s="84"/>
      <c r="T431" s="84"/>
      <c r="U431" s="84"/>
      <c r="V431" s="84"/>
      <c r="W431" s="84"/>
      <c r="X431" s="84"/>
      <c r="Y431" s="84"/>
      <c r="Z431" s="84"/>
      <c r="AA431" s="84"/>
      <c r="AB431" s="84"/>
      <c r="AC431" s="84"/>
      <c r="AD431" s="84"/>
      <c r="AE431" s="84"/>
      <c r="AF431" s="84"/>
      <c r="AG431" s="84"/>
      <c r="AH431" s="84"/>
      <c r="AI431" s="84"/>
      <c r="AJ431" s="84"/>
    </row>
    <row r="432" spans="1:36" s="153" customFormat="1" ht="13.5" customHeight="1">
      <c r="A432" s="196" t="s">
        <v>752</v>
      </c>
      <c r="B432" s="51"/>
      <c r="C432" s="46"/>
      <c r="D432" s="42" t="s">
        <v>242</v>
      </c>
      <c r="E432" s="83" t="s">
        <v>21</v>
      </c>
      <c r="F432" s="52">
        <v>507.54</v>
      </c>
      <c r="G432" s="9"/>
      <c r="H432" s="141">
        <f t="shared" si="2"/>
        <v>0</v>
      </c>
      <c r="I432" s="47"/>
      <c r="J432" s="235"/>
      <c r="K432" s="233"/>
      <c r="L432" s="84"/>
      <c r="M432" s="84"/>
      <c r="N432" s="84"/>
      <c r="O432" s="84"/>
      <c r="P432" s="84"/>
      <c r="Q432" s="84"/>
      <c r="R432" s="84"/>
      <c r="S432" s="84"/>
      <c r="T432" s="84"/>
      <c r="U432" s="84"/>
      <c r="V432" s="84"/>
      <c r="W432" s="84"/>
      <c r="X432" s="84"/>
      <c r="Y432" s="84"/>
      <c r="Z432" s="84"/>
      <c r="AA432" s="84"/>
      <c r="AB432" s="84"/>
      <c r="AC432" s="84"/>
      <c r="AD432" s="84"/>
      <c r="AE432" s="84"/>
      <c r="AF432" s="84"/>
      <c r="AG432" s="84"/>
      <c r="AH432" s="84"/>
      <c r="AI432" s="84"/>
      <c r="AJ432" s="84"/>
    </row>
    <row r="433" spans="1:36" s="61" customFormat="1" ht="39" customHeight="1">
      <c r="A433" s="144"/>
      <c r="B433" s="145"/>
      <c r="C433" s="145"/>
      <c r="D433" s="42" t="s">
        <v>141</v>
      </c>
      <c r="E433" s="145"/>
      <c r="F433" s="146"/>
      <c r="G433" s="147"/>
      <c r="H433" s="47"/>
      <c r="I433" s="186"/>
      <c r="J433" s="236"/>
      <c r="K433" s="236"/>
      <c r="L433" s="60"/>
      <c r="M433" s="60"/>
      <c r="N433" s="60"/>
      <c r="O433" s="60"/>
      <c r="P433" s="60"/>
      <c r="Q433" s="60"/>
      <c r="R433" s="60"/>
      <c r="S433" s="60"/>
      <c r="T433" s="60"/>
      <c r="U433" s="60"/>
      <c r="V433" s="60"/>
      <c r="W433" s="60"/>
      <c r="X433" s="60"/>
      <c r="Y433" s="60"/>
      <c r="Z433" s="60"/>
      <c r="AA433" s="60"/>
      <c r="AB433" s="60"/>
      <c r="AC433" s="60"/>
      <c r="AD433" s="60"/>
      <c r="AE433" s="60"/>
      <c r="AF433" s="60"/>
      <c r="AG433" s="60"/>
      <c r="AH433" s="60"/>
      <c r="AI433" s="60"/>
      <c r="AJ433" s="60"/>
    </row>
    <row r="434" spans="1:36" s="153" customFormat="1" ht="13.5" customHeight="1">
      <c r="A434" s="237"/>
      <c r="B434" s="238"/>
      <c r="C434" s="239"/>
      <c r="D434" s="240" t="s">
        <v>241</v>
      </c>
      <c r="E434" s="239"/>
      <c r="F434" s="52">
        <f>44.6*10.35</f>
        <v>461.61</v>
      </c>
      <c r="G434" s="241"/>
      <c r="H434" s="241"/>
      <c r="I434" s="242"/>
      <c r="J434" s="154"/>
      <c r="K434" s="233"/>
      <c r="L434" s="84"/>
      <c r="M434" s="84"/>
      <c r="N434" s="84"/>
      <c r="O434" s="84"/>
      <c r="P434" s="84"/>
      <c r="Q434" s="84"/>
      <c r="R434" s="84"/>
      <c r="S434" s="84"/>
      <c r="T434" s="84"/>
      <c r="U434" s="84"/>
      <c r="V434" s="84"/>
      <c r="W434" s="84"/>
      <c r="X434" s="84"/>
      <c r="Y434" s="84"/>
      <c r="Z434" s="84"/>
      <c r="AA434" s="84"/>
      <c r="AB434" s="84"/>
      <c r="AC434" s="84"/>
      <c r="AD434" s="84"/>
      <c r="AE434" s="84"/>
      <c r="AF434" s="84"/>
      <c r="AG434" s="84"/>
      <c r="AH434" s="84"/>
      <c r="AI434" s="84"/>
      <c r="AJ434" s="84"/>
    </row>
    <row r="435" spans="1:36" s="61" customFormat="1" ht="13.5" customHeight="1">
      <c r="A435" s="82" t="s">
        <v>713</v>
      </c>
      <c r="B435" s="51" t="s">
        <v>136</v>
      </c>
      <c r="C435" s="46" t="s">
        <v>237</v>
      </c>
      <c r="D435" s="46" t="s">
        <v>484</v>
      </c>
      <c r="E435" s="46" t="s">
        <v>21</v>
      </c>
      <c r="F435" s="50">
        <f>SUM(F441:F442)</f>
        <v>97.35</v>
      </c>
      <c r="G435" s="183">
        <f>SUM(H437:H438)/F435</f>
        <v>0</v>
      </c>
      <c r="H435" s="47">
        <f>F435*G435</f>
        <v>0</v>
      </c>
      <c r="I435" s="48" t="s">
        <v>192</v>
      </c>
      <c r="J435" s="154"/>
      <c r="K435" s="60"/>
      <c r="L435" s="60"/>
      <c r="M435" s="60"/>
      <c r="N435" s="60"/>
      <c r="O435" s="60"/>
      <c r="P435" s="60"/>
      <c r="Q435" s="60"/>
      <c r="R435" s="60"/>
      <c r="S435" s="60"/>
      <c r="T435" s="60"/>
      <c r="U435" s="60"/>
      <c r="V435" s="60"/>
      <c r="W435" s="60"/>
      <c r="X435" s="60"/>
      <c r="Y435" s="60"/>
      <c r="Z435" s="60"/>
      <c r="AA435" s="60"/>
      <c r="AB435" s="60"/>
      <c r="AC435" s="60"/>
      <c r="AD435" s="60"/>
      <c r="AE435" s="60"/>
      <c r="AF435" s="60"/>
      <c r="AG435" s="60"/>
      <c r="AH435" s="60"/>
      <c r="AI435" s="60"/>
      <c r="AJ435" s="60"/>
    </row>
    <row r="436" spans="1:36" s="60" customFormat="1" ht="13.5" customHeight="1">
      <c r="A436" s="82"/>
      <c r="B436" s="51"/>
      <c r="C436" s="46"/>
      <c r="D436" s="42" t="s">
        <v>53</v>
      </c>
      <c r="E436" s="46"/>
      <c r="F436" s="52"/>
      <c r="G436" s="47"/>
      <c r="H436" s="47"/>
      <c r="I436" s="48"/>
    </row>
    <row r="437" spans="1:36" s="153" customFormat="1" ht="13.5" customHeight="1">
      <c r="A437" s="196" t="s">
        <v>714</v>
      </c>
      <c r="B437" s="51"/>
      <c r="C437" s="46"/>
      <c r="D437" s="42" t="s">
        <v>278</v>
      </c>
      <c r="E437" s="83" t="s">
        <v>21</v>
      </c>
      <c r="F437" s="52">
        <v>113.39</v>
      </c>
      <c r="G437" s="9"/>
      <c r="H437" s="141">
        <f>F437*G437</f>
        <v>0</v>
      </c>
      <c r="I437" s="47"/>
      <c r="J437" s="243"/>
      <c r="K437" s="84"/>
      <c r="L437" s="84"/>
      <c r="M437" s="84"/>
      <c r="N437" s="84"/>
      <c r="O437" s="84"/>
      <c r="P437" s="84"/>
      <c r="Q437" s="84"/>
      <c r="R437" s="84"/>
      <c r="S437" s="84"/>
      <c r="T437" s="84"/>
      <c r="U437" s="84"/>
      <c r="V437" s="84"/>
      <c r="W437" s="84"/>
      <c r="X437" s="84"/>
      <c r="Y437" s="84"/>
      <c r="Z437" s="84"/>
      <c r="AA437" s="84"/>
      <c r="AB437" s="84"/>
      <c r="AC437" s="84"/>
      <c r="AD437" s="84"/>
      <c r="AE437" s="84"/>
      <c r="AF437" s="84"/>
      <c r="AG437" s="84"/>
      <c r="AH437" s="84"/>
      <c r="AI437" s="84"/>
      <c r="AJ437" s="84"/>
    </row>
    <row r="438" spans="1:36" s="153" customFormat="1" ht="13.5" customHeight="1">
      <c r="A438" s="196" t="s">
        <v>715</v>
      </c>
      <c r="B438" s="51"/>
      <c r="C438" s="46"/>
      <c r="D438" s="42" t="s">
        <v>279</v>
      </c>
      <c r="E438" s="83" t="s">
        <v>21</v>
      </c>
      <c r="F438" s="52">
        <v>113.39</v>
      </c>
      <c r="G438" s="9"/>
      <c r="H438" s="141">
        <f>F438*G438</f>
        <v>0</v>
      </c>
      <c r="I438" s="47"/>
      <c r="J438" s="231"/>
      <c r="K438" s="84"/>
      <c r="L438" s="84"/>
      <c r="M438" s="84"/>
      <c r="N438" s="84"/>
      <c r="O438" s="84"/>
      <c r="P438" s="84"/>
      <c r="Q438" s="84"/>
      <c r="R438" s="84"/>
      <c r="S438" s="84"/>
      <c r="T438" s="84"/>
      <c r="U438" s="84"/>
      <c r="V438" s="84"/>
      <c r="W438" s="84"/>
      <c r="X438" s="84"/>
      <c r="Y438" s="84"/>
      <c r="Z438" s="84"/>
      <c r="AA438" s="84"/>
      <c r="AB438" s="84"/>
      <c r="AC438" s="84"/>
      <c r="AD438" s="84"/>
      <c r="AE438" s="84"/>
      <c r="AF438" s="84"/>
      <c r="AG438" s="84"/>
      <c r="AH438" s="84"/>
      <c r="AI438" s="84"/>
      <c r="AJ438" s="84"/>
    </row>
    <row r="439" spans="1:36" s="153" customFormat="1" ht="13.5" customHeight="1">
      <c r="A439" s="237"/>
      <c r="B439" s="238"/>
      <c r="C439" s="239"/>
      <c r="D439" s="240" t="s">
        <v>276</v>
      </c>
      <c r="E439" s="239"/>
      <c r="F439" s="52"/>
      <c r="G439" s="241"/>
      <c r="H439" s="241"/>
      <c r="I439" s="242"/>
      <c r="J439" s="84"/>
      <c r="K439" s="84"/>
      <c r="L439" s="84"/>
      <c r="M439" s="84"/>
      <c r="N439" s="84"/>
      <c r="O439" s="84"/>
      <c r="P439" s="84"/>
      <c r="Q439" s="84"/>
      <c r="R439" s="84"/>
      <c r="S439" s="84"/>
      <c r="T439" s="84"/>
      <c r="U439" s="84"/>
      <c r="V439" s="84"/>
      <c r="W439" s="84"/>
      <c r="X439" s="84"/>
      <c r="Y439" s="84"/>
      <c r="Z439" s="84"/>
      <c r="AA439" s="84"/>
      <c r="AB439" s="84"/>
      <c r="AC439" s="84"/>
      <c r="AD439" s="84"/>
      <c r="AE439" s="84"/>
      <c r="AF439" s="84"/>
      <c r="AG439" s="84"/>
      <c r="AH439" s="84"/>
      <c r="AI439" s="84"/>
      <c r="AJ439" s="84"/>
    </row>
    <row r="440" spans="1:36" s="61" customFormat="1" ht="39" customHeight="1">
      <c r="A440" s="144"/>
      <c r="B440" s="145"/>
      <c r="C440" s="145"/>
      <c r="D440" s="42" t="s">
        <v>141</v>
      </c>
      <c r="E440" s="145"/>
      <c r="F440" s="146"/>
      <c r="G440" s="147"/>
      <c r="H440" s="47"/>
      <c r="I440" s="186"/>
      <c r="J440" s="188"/>
      <c r="K440" s="60"/>
      <c r="L440" s="60"/>
      <c r="M440" s="60"/>
      <c r="N440" s="60"/>
      <c r="O440" s="60"/>
      <c r="P440" s="60"/>
      <c r="Q440" s="60"/>
      <c r="R440" s="60"/>
      <c r="S440" s="60"/>
      <c r="T440" s="60"/>
      <c r="U440" s="60"/>
      <c r="V440" s="60"/>
      <c r="W440" s="60"/>
      <c r="X440" s="60"/>
      <c r="Y440" s="60"/>
      <c r="Z440" s="60"/>
      <c r="AA440" s="60"/>
      <c r="AB440" s="60"/>
      <c r="AC440" s="60"/>
      <c r="AD440" s="60"/>
      <c r="AE440" s="60"/>
      <c r="AF440" s="60"/>
      <c r="AG440" s="60"/>
      <c r="AH440" s="60"/>
      <c r="AI440" s="60"/>
      <c r="AJ440" s="60"/>
    </row>
    <row r="441" spans="1:36" s="153" customFormat="1" ht="13.5" customHeight="1">
      <c r="A441" s="237"/>
      <c r="B441" s="238"/>
      <c r="C441" s="239"/>
      <c r="D441" s="240" t="s">
        <v>386</v>
      </c>
      <c r="E441" s="239"/>
      <c r="F441" s="52">
        <f>0.5*(44.6*2+10.35*2)</f>
        <v>54.95</v>
      </c>
      <c r="G441" s="241"/>
      <c r="H441" s="241"/>
      <c r="I441" s="242"/>
      <c r="J441" s="162"/>
      <c r="K441" s="84"/>
      <c r="L441" s="84"/>
      <c r="M441" s="84"/>
      <c r="N441" s="84"/>
      <c r="O441" s="84"/>
      <c r="P441" s="84"/>
      <c r="Q441" s="84"/>
      <c r="R441" s="84"/>
      <c r="S441" s="84"/>
      <c r="T441" s="84"/>
      <c r="U441" s="84"/>
      <c r="V441" s="84"/>
      <c r="W441" s="84"/>
      <c r="X441" s="84"/>
      <c r="Y441" s="84"/>
      <c r="Z441" s="84"/>
      <c r="AA441" s="84"/>
      <c r="AB441" s="84"/>
      <c r="AC441" s="84"/>
      <c r="AD441" s="84"/>
      <c r="AE441" s="84"/>
      <c r="AF441" s="84"/>
      <c r="AG441" s="84"/>
      <c r="AH441" s="84"/>
      <c r="AI441" s="84"/>
      <c r="AJ441" s="84"/>
    </row>
    <row r="442" spans="1:36" s="153" customFormat="1" ht="13.5" customHeight="1">
      <c r="A442" s="237"/>
      <c r="B442" s="238"/>
      <c r="C442" s="239"/>
      <c r="D442" s="240" t="s">
        <v>277</v>
      </c>
      <c r="E442" s="239"/>
      <c r="F442" s="52">
        <f>0.565*45.4+(0.465*11.1*2)+(0.315*10.2*2)</f>
        <v>42.4</v>
      </c>
      <c r="G442" s="241"/>
      <c r="H442" s="241"/>
      <c r="I442" s="242"/>
      <c r="J442" s="244"/>
      <c r="K442" s="84"/>
      <c r="L442" s="84"/>
      <c r="M442" s="84"/>
      <c r="N442" s="84"/>
      <c r="O442" s="84"/>
      <c r="P442" s="84"/>
      <c r="Q442" s="84"/>
      <c r="R442" s="84"/>
      <c r="S442" s="84"/>
      <c r="T442" s="84"/>
      <c r="U442" s="84"/>
      <c r="V442" s="84"/>
      <c r="W442" s="84"/>
      <c r="X442" s="84"/>
      <c r="Y442" s="84"/>
      <c r="Z442" s="84"/>
      <c r="AA442" s="84"/>
      <c r="AB442" s="84"/>
      <c r="AC442" s="84"/>
      <c r="AD442" s="84"/>
      <c r="AE442" s="84"/>
      <c r="AF442" s="84"/>
      <c r="AG442" s="84"/>
      <c r="AH442" s="84"/>
      <c r="AI442" s="84"/>
      <c r="AJ442" s="84"/>
    </row>
    <row r="443" spans="1:36" s="84" customFormat="1" ht="13.5" customHeight="1">
      <c r="A443" s="82" t="s">
        <v>754</v>
      </c>
      <c r="B443" s="51" t="s">
        <v>136</v>
      </c>
      <c r="C443" s="46" t="s">
        <v>553</v>
      </c>
      <c r="D443" s="46" t="s">
        <v>234</v>
      </c>
      <c r="E443" s="46" t="s">
        <v>67</v>
      </c>
      <c r="F443" s="50">
        <f>F446</f>
        <v>109.9</v>
      </c>
      <c r="G443" s="183">
        <f>SUM(H444:H445)/F443</f>
        <v>0</v>
      </c>
      <c r="H443" s="47">
        <f>F443*G443</f>
        <v>0</v>
      </c>
      <c r="I443" s="48" t="s">
        <v>192</v>
      </c>
      <c r="J443" s="245"/>
      <c r="K443" s="246"/>
    </row>
    <row r="444" spans="1:36" s="153" customFormat="1" ht="13.5" customHeight="1">
      <c r="A444" s="196" t="s">
        <v>753</v>
      </c>
      <c r="B444" s="145"/>
      <c r="C444" s="145"/>
      <c r="D444" s="42" t="s">
        <v>235</v>
      </c>
      <c r="E444" s="83" t="s">
        <v>67</v>
      </c>
      <c r="F444" s="52">
        <v>109.9</v>
      </c>
      <c r="G444" s="9"/>
      <c r="H444" s="52">
        <f>F444*G444</f>
        <v>0</v>
      </c>
      <c r="I444" s="186"/>
      <c r="J444" s="247"/>
      <c r="K444" s="246"/>
      <c r="L444" s="97"/>
      <c r="M444" s="60"/>
      <c r="N444" s="60"/>
      <c r="O444" s="60"/>
      <c r="P444" s="60"/>
      <c r="Q444" s="60"/>
      <c r="R444" s="97"/>
      <c r="S444" s="60"/>
      <c r="T444" s="61"/>
      <c r="V444" s="61"/>
      <c r="W444" s="61"/>
      <c r="X444" s="84"/>
      <c r="Y444" s="84"/>
      <c r="Z444" s="84"/>
      <c r="AA444" s="84"/>
    </row>
    <row r="445" spans="1:36" s="153" customFormat="1" ht="13.5" customHeight="1">
      <c r="A445" s="196" t="s">
        <v>755</v>
      </c>
      <c r="B445" s="145"/>
      <c r="C445" s="145"/>
      <c r="D445" s="42" t="s">
        <v>236</v>
      </c>
      <c r="E445" s="83" t="s">
        <v>67</v>
      </c>
      <c r="F445" s="52">
        <v>120.89</v>
      </c>
      <c r="G445" s="9"/>
      <c r="H445" s="52">
        <f>F445*G445</f>
        <v>0</v>
      </c>
      <c r="I445" s="186"/>
      <c r="J445" s="248"/>
      <c r="K445" s="249"/>
      <c r="L445" s="248"/>
      <c r="M445" s="249"/>
      <c r="N445" s="249"/>
      <c r="O445" s="249"/>
      <c r="P445" s="249"/>
      <c r="Q445" s="249"/>
      <c r="R445" s="248"/>
      <c r="S445" s="249"/>
      <c r="T445" s="250"/>
      <c r="V445" s="61"/>
      <c r="W445" s="61"/>
      <c r="X445" s="84"/>
      <c r="Y445" s="84"/>
      <c r="Z445" s="84"/>
      <c r="AA445" s="84"/>
    </row>
    <row r="446" spans="1:36" s="60" customFormat="1" ht="13.5" customHeight="1">
      <c r="A446" s="140"/>
      <c r="B446" s="42"/>
      <c r="C446" s="42"/>
      <c r="D446" s="42" t="s">
        <v>262</v>
      </c>
      <c r="E446" s="42"/>
      <c r="F446" s="52">
        <f>44.6*2+10.35*2</f>
        <v>109.9</v>
      </c>
      <c r="G446" s="141"/>
      <c r="H446" s="141"/>
      <c r="I446" s="186"/>
    </row>
    <row r="447" spans="1:36" s="60" customFormat="1" ht="13.5" customHeight="1">
      <c r="A447" s="196"/>
      <c r="B447" s="51"/>
      <c r="C447" s="46"/>
      <c r="D447" s="240" t="s">
        <v>163</v>
      </c>
      <c r="E447" s="46"/>
      <c r="F447" s="146"/>
      <c r="G447" s="47"/>
      <c r="H447" s="47"/>
      <c r="I447" s="186"/>
      <c r="J447" s="154"/>
      <c r="L447" s="225"/>
    </row>
    <row r="448" spans="1:36" s="63" customFormat="1" ht="13.5" customHeight="1">
      <c r="A448" s="45">
        <v>132</v>
      </c>
      <c r="B448" s="51" t="s">
        <v>136</v>
      </c>
      <c r="C448" s="46">
        <v>998712202</v>
      </c>
      <c r="D448" s="46" t="s">
        <v>137</v>
      </c>
      <c r="E448" s="46" t="s">
        <v>47</v>
      </c>
      <c r="F448" s="50">
        <v>3.15</v>
      </c>
      <c r="G448" s="11"/>
      <c r="H448" s="47">
        <f>F448*G448</f>
        <v>0</v>
      </c>
      <c r="I448" s="48" t="s">
        <v>183</v>
      </c>
      <c r="J448" s="110"/>
    </row>
    <row r="449" spans="1:19" s="63" customFormat="1" ht="13.5" customHeight="1">
      <c r="A449" s="45">
        <v>133</v>
      </c>
      <c r="B449" s="51" t="s">
        <v>138</v>
      </c>
      <c r="C449" s="46" t="s">
        <v>112</v>
      </c>
      <c r="D449" s="46" t="s">
        <v>113</v>
      </c>
      <c r="E449" s="46" t="s">
        <v>28</v>
      </c>
      <c r="F449" s="50">
        <f>F450</f>
        <v>50</v>
      </c>
      <c r="G449" s="11"/>
      <c r="H449" s="47">
        <f>F449*G449</f>
        <v>0</v>
      </c>
      <c r="I449" s="48" t="s">
        <v>183</v>
      </c>
      <c r="J449" s="155"/>
    </row>
    <row r="450" spans="1:19" ht="13.5" customHeight="1">
      <c r="A450" s="251"/>
      <c r="B450" s="51"/>
      <c r="C450" s="46"/>
      <c r="D450" s="42" t="s">
        <v>139</v>
      </c>
      <c r="E450" s="46"/>
      <c r="F450" s="52">
        <v>50</v>
      </c>
      <c r="G450" s="47"/>
      <c r="H450" s="47"/>
      <c r="I450" s="98"/>
      <c r="J450" s="155"/>
    </row>
    <row r="451" spans="1:19" ht="13.5" customHeight="1">
      <c r="A451" s="144"/>
      <c r="B451" s="145"/>
      <c r="C451" s="145"/>
      <c r="D451" s="42" t="s">
        <v>140</v>
      </c>
      <c r="E451" s="145"/>
      <c r="F451" s="52"/>
      <c r="G451" s="147"/>
      <c r="H451" s="47"/>
      <c r="I451" s="48"/>
    </row>
    <row r="452" spans="1:19" s="60" customFormat="1" ht="13.5" customHeight="1">
      <c r="A452" s="111"/>
      <c r="B452" s="112"/>
      <c r="C452" s="112">
        <v>713</v>
      </c>
      <c r="D452" s="112" t="s">
        <v>51</v>
      </c>
      <c r="E452" s="112"/>
      <c r="F452" s="113"/>
      <c r="G452" s="114"/>
      <c r="H452" s="114">
        <f>SUM(H453,H461,H469,H475,H480,H489,H495,H502,H507:H512)</f>
        <v>0</v>
      </c>
      <c r="I452" s="186"/>
      <c r="L452" s="225"/>
    </row>
    <row r="453" spans="1:19" s="224" customFormat="1" ht="27.75" customHeight="1">
      <c r="A453" s="45">
        <v>134</v>
      </c>
      <c r="B453" s="46">
        <v>713</v>
      </c>
      <c r="C453" s="46" t="s">
        <v>52</v>
      </c>
      <c r="D453" s="46" t="s">
        <v>436</v>
      </c>
      <c r="E453" s="46" t="s">
        <v>21</v>
      </c>
      <c r="F453" s="50">
        <f>SUM(F458:F458)</f>
        <v>64.174999999999997</v>
      </c>
      <c r="G453" s="183">
        <f>SUM(H455:H457)/F453</f>
        <v>0</v>
      </c>
      <c r="H453" s="47">
        <f>F453*G453</f>
        <v>0</v>
      </c>
      <c r="I453" s="48" t="s">
        <v>192</v>
      </c>
      <c r="J453" s="116"/>
      <c r="K453" s="184"/>
      <c r="L453" s="184"/>
      <c r="M453" s="131"/>
      <c r="N453" s="131"/>
      <c r="O453" s="131"/>
      <c r="P453" s="131"/>
      <c r="Q453" s="131"/>
      <c r="R453" s="131"/>
      <c r="S453" s="131"/>
    </row>
    <row r="454" spans="1:19" s="60" customFormat="1" ht="13.5" customHeight="1">
      <c r="A454" s="82"/>
      <c r="B454" s="51"/>
      <c r="C454" s="46"/>
      <c r="D454" s="42" t="s">
        <v>53</v>
      </c>
      <c r="E454" s="46"/>
      <c r="F454" s="52"/>
      <c r="G454" s="47"/>
      <c r="H454" s="47"/>
      <c r="I454" s="48"/>
      <c r="J454" s="231"/>
    </row>
    <row r="455" spans="1:19" s="60" customFormat="1" ht="13.5" customHeight="1">
      <c r="A455" s="196" t="s">
        <v>716</v>
      </c>
      <c r="B455" s="51"/>
      <c r="C455" s="46"/>
      <c r="D455" s="42" t="s">
        <v>445</v>
      </c>
      <c r="E455" s="83" t="s">
        <v>21</v>
      </c>
      <c r="F455" s="52">
        <v>73.81</v>
      </c>
      <c r="G455" s="40"/>
      <c r="H455" s="52">
        <f>F455*G455</f>
        <v>0</v>
      </c>
      <c r="I455" s="48"/>
      <c r="J455" s="231"/>
    </row>
    <row r="456" spans="1:19" s="60" customFormat="1" ht="13.5" customHeight="1">
      <c r="A456" s="196" t="s">
        <v>717</v>
      </c>
      <c r="B456" s="51"/>
      <c r="C456" s="46"/>
      <c r="D456" s="42" t="s">
        <v>446</v>
      </c>
      <c r="E456" s="83" t="s">
        <v>21</v>
      </c>
      <c r="F456" s="52">
        <v>73.81</v>
      </c>
      <c r="G456" s="40"/>
      <c r="H456" s="52">
        <f>F456*G456</f>
        <v>0</v>
      </c>
      <c r="I456" s="48"/>
      <c r="J456" s="231"/>
    </row>
    <row r="457" spans="1:19" s="60" customFormat="1" ht="25.5" customHeight="1">
      <c r="A457" s="196" t="s">
        <v>718</v>
      </c>
      <c r="B457" s="51"/>
      <c r="C457" s="46"/>
      <c r="D457" s="42" t="s">
        <v>447</v>
      </c>
      <c r="E457" s="83" t="s">
        <v>21</v>
      </c>
      <c r="F457" s="52">
        <v>70.599999999999994</v>
      </c>
      <c r="G457" s="40"/>
      <c r="H457" s="52">
        <f>F457*G457</f>
        <v>0</v>
      </c>
      <c r="I457" s="48"/>
      <c r="J457" s="252"/>
    </row>
    <row r="458" spans="1:19" s="60" customFormat="1" ht="13.5" customHeight="1">
      <c r="A458" s="196"/>
      <c r="B458" s="51"/>
      <c r="C458" s="46"/>
      <c r="D458" s="42" t="s">
        <v>471</v>
      </c>
      <c r="E458" s="83"/>
      <c r="F458" s="52">
        <f>1.51*(10.4*2+8.1*2+2.75*2)</f>
        <v>64.174999999999997</v>
      </c>
      <c r="G458" s="52"/>
      <c r="H458" s="52"/>
      <c r="I458" s="48"/>
      <c r="J458" s="116"/>
    </row>
    <row r="459" spans="1:19" s="84" customFormat="1" ht="40.5" customHeight="1">
      <c r="A459" s="82"/>
      <c r="B459" s="51"/>
      <c r="C459" s="46"/>
      <c r="D459" s="42" t="s">
        <v>451</v>
      </c>
      <c r="E459" s="46"/>
      <c r="F459" s="52"/>
      <c r="G459" s="47"/>
      <c r="H459" s="47"/>
      <c r="I459" s="48"/>
    </row>
    <row r="460" spans="1:19" s="84" customFormat="1" ht="27" customHeight="1">
      <c r="A460" s="82"/>
      <c r="B460" s="51"/>
      <c r="C460" s="46"/>
      <c r="D460" s="42" t="s">
        <v>452</v>
      </c>
      <c r="E460" s="46"/>
      <c r="F460" s="52"/>
      <c r="G460" s="47"/>
      <c r="H460" s="47"/>
      <c r="I460" s="48"/>
    </row>
    <row r="461" spans="1:19" s="224" customFormat="1" ht="27.75" customHeight="1">
      <c r="A461" s="45">
        <v>135</v>
      </c>
      <c r="B461" s="46">
        <v>713</v>
      </c>
      <c r="C461" s="46" t="s">
        <v>58</v>
      </c>
      <c r="D461" s="46" t="s">
        <v>437</v>
      </c>
      <c r="E461" s="46" t="s">
        <v>21</v>
      </c>
      <c r="F461" s="50">
        <f>SUM(F466:F466)</f>
        <v>34.049999999999997</v>
      </c>
      <c r="G461" s="183">
        <f>SUM(H463:H465)/F461</f>
        <v>0</v>
      </c>
      <c r="H461" s="47">
        <f>F461*G461</f>
        <v>0</v>
      </c>
      <c r="I461" s="48" t="s">
        <v>192</v>
      </c>
      <c r="J461" s="116"/>
      <c r="K461" s="184"/>
      <c r="L461" s="184"/>
      <c r="M461" s="131"/>
      <c r="N461" s="131"/>
      <c r="O461" s="131"/>
      <c r="P461" s="131"/>
      <c r="Q461" s="131"/>
      <c r="R461" s="131"/>
      <c r="S461" s="131"/>
    </row>
    <row r="462" spans="1:19" s="60" customFormat="1" ht="13.5" customHeight="1">
      <c r="A462" s="82"/>
      <c r="B462" s="51"/>
      <c r="C462" s="46"/>
      <c r="D462" s="42" t="s">
        <v>53</v>
      </c>
      <c r="E462" s="46"/>
      <c r="F462" s="52"/>
      <c r="G462" s="47"/>
      <c r="H462" s="47"/>
      <c r="I462" s="48"/>
      <c r="J462" s="231"/>
    </row>
    <row r="463" spans="1:19" s="60" customFormat="1" ht="13.5" customHeight="1">
      <c r="A463" s="196" t="s">
        <v>719</v>
      </c>
      <c r="B463" s="51"/>
      <c r="C463" s="46"/>
      <c r="D463" s="42" t="s">
        <v>448</v>
      </c>
      <c r="E463" s="83" t="s">
        <v>21</v>
      </c>
      <c r="F463" s="52">
        <v>39.159999999999997</v>
      </c>
      <c r="G463" s="40"/>
      <c r="H463" s="52">
        <f>F463*G463</f>
        <v>0</v>
      </c>
      <c r="I463" s="48"/>
      <c r="J463" s="231"/>
    </row>
    <row r="464" spans="1:19" s="60" customFormat="1" ht="13.5" customHeight="1">
      <c r="A464" s="196" t="s">
        <v>720</v>
      </c>
      <c r="B464" s="51"/>
      <c r="C464" s="46"/>
      <c r="D464" s="42" t="s">
        <v>449</v>
      </c>
      <c r="E464" s="83" t="s">
        <v>21</v>
      </c>
      <c r="F464" s="52">
        <v>39.159999999999997</v>
      </c>
      <c r="G464" s="40"/>
      <c r="H464" s="52">
        <f>F464*G464</f>
        <v>0</v>
      </c>
      <c r="I464" s="48"/>
      <c r="J464" s="231"/>
    </row>
    <row r="465" spans="1:27" s="60" customFormat="1" ht="25.5" customHeight="1">
      <c r="A465" s="196" t="s">
        <v>756</v>
      </c>
      <c r="B465" s="51"/>
      <c r="C465" s="46"/>
      <c r="D465" s="42" t="s">
        <v>450</v>
      </c>
      <c r="E465" s="83" t="s">
        <v>21</v>
      </c>
      <c r="F465" s="52">
        <v>37.46</v>
      </c>
      <c r="G465" s="40"/>
      <c r="H465" s="52">
        <f>F465*G465</f>
        <v>0</v>
      </c>
      <c r="I465" s="48"/>
      <c r="J465" s="252"/>
    </row>
    <row r="466" spans="1:27" s="60" customFormat="1" ht="13.5" customHeight="1">
      <c r="A466" s="196"/>
      <c r="B466" s="51"/>
      <c r="C466" s="46"/>
      <c r="D466" s="42" t="s">
        <v>444</v>
      </c>
      <c r="E466" s="83"/>
      <c r="F466" s="52">
        <f>0.75*(45.4)</f>
        <v>34.049999999999997</v>
      </c>
      <c r="G466" s="52"/>
      <c r="H466" s="52"/>
      <c r="I466" s="48"/>
      <c r="J466" s="116"/>
    </row>
    <row r="467" spans="1:27" s="84" customFormat="1" ht="40.5" customHeight="1">
      <c r="A467" s="82"/>
      <c r="B467" s="51"/>
      <c r="C467" s="46"/>
      <c r="D467" s="42" t="s">
        <v>451</v>
      </c>
      <c r="E467" s="46"/>
      <c r="F467" s="52"/>
      <c r="G467" s="47"/>
      <c r="H467" s="47"/>
      <c r="I467" s="48"/>
    </row>
    <row r="468" spans="1:27" s="84" customFormat="1" ht="27" customHeight="1">
      <c r="A468" s="82"/>
      <c r="B468" s="51"/>
      <c r="C468" s="46"/>
      <c r="D468" s="42" t="s">
        <v>452</v>
      </c>
      <c r="E468" s="46"/>
      <c r="F468" s="52"/>
      <c r="G468" s="47"/>
      <c r="H468" s="47"/>
      <c r="I468" s="48"/>
    </row>
    <row r="469" spans="1:27" s="60" customFormat="1" ht="27" customHeight="1">
      <c r="A469" s="45">
        <v>136</v>
      </c>
      <c r="B469" s="46">
        <v>713</v>
      </c>
      <c r="C469" s="46" t="s">
        <v>87</v>
      </c>
      <c r="D469" s="46" t="s">
        <v>438</v>
      </c>
      <c r="E469" s="46" t="s">
        <v>21</v>
      </c>
      <c r="F469" s="50">
        <f>SUM(F473:F474)</f>
        <v>137.05199999999999</v>
      </c>
      <c r="G469" s="183">
        <f>SUM(H471:H472)/F469</f>
        <v>0</v>
      </c>
      <c r="H469" s="47">
        <f>F469*G469</f>
        <v>0</v>
      </c>
      <c r="I469" s="48" t="s">
        <v>192</v>
      </c>
      <c r="J469" s="81"/>
      <c r="L469" s="225"/>
    </row>
    <row r="470" spans="1:27" s="60" customFormat="1" ht="13.5" customHeight="1">
      <c r="A470" s="196"/>
      <c r="B470" s="51"/>
      <c r="C470" s="46"/>
      <c r="D470" s="240" t="s">
        <v>656</v>
      </c>
      <c r="E470" s="46"/>
      <c r="F470" s="146"/>
      <c r="G470" s="47"/>
      <c r="H470" s="47"/>
      <c r="I470" s="186"/>
      <c r="J470" s="81"/>
      <c r="L470" s="225"/>
    </row>
    <row r="471" spans="1:27" s="153" customFormat="1" ht="13.5" customHeight="1">
      <c r="A471" s="196" t="s">
        <v>721</v>
      </c>
      <c r="B471" s="145"/>
      <c r="C471" s="145"/>
      <c r="D471" s="42" t="s">
        <v>459</v>
      </c>
      <c r="E471" s="83" t="s">
        <v>21</v>
      </c>
      <c r="F471" s="52">
        <v>137.05000000000001</v>
      </c>
      <c r="G471" s="9"/>
      <c r="H471" s="52">
        <f>F471*G471</f>
        <v>0</v>
      </c>
      <c r="I471" s="186"/>
      <c r="J471" s="97"/>
      <c r="K471" s="60"/>
      <c r="L471" s="97"/>
      <c r="M471" s="60"/>
      <c r="N471" s="60"/>
      <c r="O471" s="60"/>
      <c r="P471" s="60"/>
      <c r="Q471" s="60"/>
      <c r="R471" s="60"/>
      <c r="S471" s="60"/>
      <c r="T471" s="61"/>
      <c r="U471" s="253"/>
      <c r="V471" s="61"/>
      <c r="W471" s="61"/>
      <c r="X471" s="84"/>
      <c r="Y471" s="84"/>
      <c r="Z471" s="84"/>
      <c r="AA471" s="84"/>
    </row>
    <row r="472" spans="1:27" s="153" customFormat="1" ht="13.5" customHeight="1">
      <c r="A472" s="196" t="s">
        <v>722</v>
      </c>
      <c r="B472" s="145"/>
      <c r="C472" s="145"/>
      <c r="D472" s="42" t="s">
        <v>460</v>
      </c>
      <c r="E472" s="83" t="s">
        <v>21</v>
      </c>
      <c r="F472" s="52">
        <v>150.76</v>
      </c>
      <c r="G472" s="9"/>
      <c r="H472" s="52">
        <f>F472*G472</f>
        <v>0</v>
      </c>
      <c r="I472" s="186"/>
      <c r="J472" s="254"/>
      <c r="K472" s="249"/>
      <c r="L472" s="248"/>
      <c r="M472" s="249"/>
      <c r="N472" s="249"/>
      <c r="O472" s="249"/>
      <c r="P472" s="249"/>
      <c r="Q472" s="249"/>
      <c r="R472" s="249"/>
      <c r="S472" s="249"/>
      <c r="T472" s="250"/>
      <c r="U472" s="255"/>
      <c r="V472" s="61"/>
      <c r="W472" s="61"/>
      <c r="X472" s="84"/>
      <c r="Y472" s="84"/>
      <c r="Z472" s="84"/>
      <c r="AA472" s="84"/>
    </row>
    <row r="473" spans="1:27" s="60" customFormat="1" ht="13.5" customHeight="1">
      <c r="A473" s="256"/>
      <c r="B473" s="257"/>
      <c r="C473" s="257"/>
      <c r="D473" s="258" t="s">
        <v>495</v>
      </c>
      <c r="E473" s="259"/>
      <c r="F473" s="260">
        <f>71.068</f>
        <v>71.067999999999998</v>
      </c>
      <c r="G473" s="261"/>
      <c r="H473" s="261"/>
      <c r="I473" s="262"/>
      <c r="L473" s="225"/>
    </row>
    <row r="474" spans="1:27" s="60" customFormat="1" ht="13.5" customHeight="1">
      <c r="A474" s="256"/>
      <c r="B474" s="257"/>
      <c r="C474" s="257"/>
      <c r="D474" s="258" t="s">
        <v>537</v>
      </c>
      <c r="E474" s="259"/>
      <c r="F474" s="260">
        <f>65.984</f>
        <v>65.983999999999995</v>
      </c>
      <c r="G474" s="261"/>
      <c r="H474" s="261"/>
      <c r="I474" s="262"/>
      <c r="J474" s="81"/>
      <c r="L474" s="225"/>
    </row>
    <row r="475" spans="1:27" s="60" customFormat="1" ht="27" customHeight="1">
      <c r="A475" s="45">
        <v>137</v>
      </c>
      <c r="B475" s="46">
        <v>713</v>
      </c>
      <c r="C475" s="46" t="s">
        <v>88</v>
      </c>
      <c r="D475" s="46" t="s">
        <v>439</v>
      </c>
      <c r="E475" s="46" t="s">
        <v>21</v>
      </c>
      <c r="F475" s="50">
        <f>SUM(F479:F479)</f>
        <v>44.07</v>
      </c>
      <c r="G475" s="183">
        <f>SUM(H477:H478)/F475</f>
        <v>0</v>
      </c>
      <c r="H475" s="47">
        <f>F475*G475</f>
        <v>0</v>
      </c>
      <c r="I475" s="48" t="s">
        <v>192</v>
      </c>
      <c r="J475" s="81"/>
      <c r="L475" s="225"/>
    </row>
    <row r="476" spans="1:27" s="60" customFormat="1" ht="13.5" customHeight="1">
      <c r="A476" s="196"/>
      <c r="B476" s="51"/>
      <c r="C476" s="46"/>
      <c r="D476" s="240" t="s">
        <v>657</v>
      </c>
      <c r="E476" s="46"/>
      <c r="F476" s="146"/>
      <c r="G476" s="47"/>
      <c r="H476" s="47"/>
      <c r="I476" s="186"/>
      <c r="J476" s="81"/>
      <c r="L476" s="225"/>
    </row>
    <row r="477" spans="1:27" s="153" customFormat="1" ht="13.5" customHeight="1">
      <c r="A477" s="196" t="s">
        <v>723</v>
      </c>
      <c r="B477" s="145"/>
      <c r="C477" s="145"/>
      <c r="D477" s="42" t="s">
        <v>459</v>
      </c>
      <c r="E477" s="83" t="s">
        <v>21</v>
      </c>
      <c r="F477" s="52">
        <v>44.07</v>
      </c>
      <c r="G477" s="9"/>
      <c r="H477" s="52">
        <f>F477*G477</f>
        <v>0</v>
      </c>
      <c r="I477" s="186"/>
      <c r="J477" s="97"/>
      <c r="K477" s="60"/>
      <c r="L477" s="97"/>
      <c r="M477" s="60"/>
      <c r="N477" s="60"/>
      <c r="O477" s="60"/>
      <c r="P477" s="60"/>
      <c r="Q477" s="60"/>
      <c r="R477" s="60"/>
      <c r="S477" s="60"/>
      <c r="T477" s="61"/>
      <c r="U477" s="253"/>
      <c r="V477" s="61"/>
      <c r="W477" s="61"/>
      <c r="X477" s="84"/>
      <c r="Y477" s="84"/>
      <c r="Z477" s="84"/>
      <c r="AA477" s="84"/>
    </row>
    <row r="478" spans="1:27" s="153" customFormat="1" ht="13.5" customHeight="1">
      <c r="A478" s="196" t="s">
        <v>724</v>
      </c>
      <c r="B478" s="145"/>
      <c r="C478" s="145"/>
      <c r="D478" s="42" t="s">
        <v>460</v>
      </c>
      <c r="E478" s="83" t="s">
        <v>21</v>
      </c>
      <c r="F478" s="52">
        <v>48.48</v>
      </c>
      <c r="G478" s="9"/>
      <c r="H478" s="52">
        <f>F478*G478</f>
        <v>0</v>
      </c>
      <c r="I478" s="186"/>
      <c r="J478" s="254"/>
      <c r="K478" s="249"/>
      <c r="L478" s="248"/>
      <c r="M478" s="249"/>
      <c r="N478" s="249"/>
      <c r="O478" s="249"/>
      <c r="P478" s="249"/>
      <c r="Q478" s="249"/>
      <c r="R478" s="249"/>
      <c r="S478" s="249"/>
      <c r="T478" s="250"/>
      <c r="U478" s="255"/>
      <c r="V478" s="61"/>
      <c r="W478" s="61"/>
      <c r="X478" s="84"/>
      <c r="Y478" s="84"/>
      <c r="Z478" s="84"/>
      <c r="AA478" s="84"/>
    </row>
    <row r="479" spans="1:27" s="60" customFormat="1" ht="13.5" customHeight="1">
      <c r="A479" s="256"/>
      <c r="B479" s="257"/>
      <c r="C479" s="257"/>
      <c r="D479" s="258" t="s">
        <v>453</v>
      </c>
      <c r="E479" s="259"/>
      <c r="F479" s="260">
        <f>0.39*(45.4*2+11.1*2)</f>
        <v>44.07</v>
      </c>
      <c r="G479" s="261"/>
      <c r="H479" s="261"/>
      <c r="I479" s="262"/>
      <c r="L479" s="225"/>
    </row>
    <row r="480" spans="1:27" s="60" customFormat="1" ht="27" customHeight="1">
      <c r="A480" s="45">
        <v>138</v>
      </c>
      <c r="B480" s="46">
        <v>713</v>
      </c>
      <c r="C480" s="46" t="s">
        <v>89</v>
      </c>
      <c r="D480" s="46" t="s">
        <v>440</v>
      </c>
      <c r="E480" s="46" t="s">
        <v>21</v>
      </c>
      <c r="F480" s="50">
        <f>SUM(F488:F488)</f>
        <v>37.989999999999995</v>
      </c>
      <c r="G480" s="183">
        <f>SUM(H482:H485)/F480</f>
        <v>0</v>
      </c>
      <c r="H480" s="47">
        <f>F480*G480</f>
        <v>0</v>
      </c>
      <c r="I480" s="48" t="s">
        <v>192</v>
      </c>
      <c r="J480" s="81"/>
      <c r="L480" s="225"/>
    </row>
    <row r="481" spans="1:36" s="139" customFormat="1" ht="13.5" customHeight="1">
      <c r="A481" s="140"/>
      <c r="B481" s="42"/>
      <c r="C481" s="42"/>
      <c r="D481" s="42" t="s">
        <v>443</v>
      </c>
      <c r="E481" s="42"/>
      <c r="F481" s="52"/>
      <c r="G481" s="263"/>
      <c r="H481" s="263"/>
      <c r="I481" s="142"/>
      <c r="J481" s="138"/>
      <c r="K481" s="138"/>
      <c r="L481" s="138"/>
      <c r="M481" s="138"/>
      <c r="N481" s="138"/>
      <c r="O481" s="138"/>
      <c r="P481" s="138"/>
      <c r="Q481" s="138"/>
      <c r="R481" s="138"/>
      <c r="S481" s="138"/>
      <c r="T481" s="138"/>
      <c r="U481" s="138"/>
      <c r="V481" s="138"/>
      <c r="W481" s="138"/>
      <c r="X481" s="138"/>
      <c r="Y481" s="138"/>
      <c r="Z481" s="138"/>
      <c r="AA481" s="138"/>
      <c r="AB481" s="138"/>
      <c r="AC481" s="138"/>
      <c r="AD481" s="138"/>
      <c r="AE481" s="138"/>
      <c r="AF481" s="138"/>
      <c r="AG481" s="138"/>
      <c r="AH481" s="138"/>
      <c r="AI481" s="138"/>
      <c r="AJ481" s="138"/>
    </row>
    <row r="482" spans="1:36" s="153" customFormat="1" ht="13.5" customHeight="1">
      <c r="A482" s="196" t="s">
        <v>725</v>
      </c>
      <c r="B482" s="51"/>
      <c r="C482" s="46"/>
      <c r="D482" s="42" t="s">
        <v>455</v>
      </c>
      <c r="E482" s="83" t="s">
        <v>21</v>
      </c>
      <c r="F482" s="52">
        <v>41.79</v>
      </c>
      <c r="G482" s="37"/>
      <c r="H482" s="141">
        <f>F482*G482</f>
        <v>0</v>
      </c>
      <c r="I482" s="142"/>
      <c r="J482" s="154"/>
      <c r="K482" s="264"/>
      <c r="L482" s="84"/>
      <c r="M482" s="84"/>
      <c r="N482" s="84"/>
      <c r="O482" s="84"/>
      <c r="P482" s="84"/>
      <c r="Q482" s="84"/>
      <c r="R482" s="84"/>
      <c r="S482" s="84"/>
      <c r="T482" s="84"/>
      <c r="U482" s="84"/>
      <c r="V482" s="84"/>
      <c r="W482" s="84"/>
      <c r="X482" s="84"/>
      <c r="Y482" s="84"/>
      <c r="Z482" s="84"/>
      <c r="AA482" s="84"/>
      <c r="AB482" s="84"/>
      <c r="AC482" s="84"/>
      <c r="AD482" s="84"/>
      <c r="AE482" s="84"/>
      <c r="AF482" s="84"/>
      <c r="AG482" s="84"/>
      <c r="AH482" s="84"/>
      <c r="AI482" s="84"/>
      <c r="AJ482" s="84"/>
    </row>
    <row r="483" spans="1:36" s="153" customFormat="1" ht="13.5" customHeight="1">
      <c r="A483" s="196" t="s">
        <v>726</v>
      </c>
      <c r="B483" s="51"/>
      <c r="C483" s="46"/>
      <c r="D483" s="42" t="s">
        <v>456</v>
      </c>
      <c r="E483" s="83" t="s">
        <v>21</v>
      </c>
      <c r="F483" s="52">
        <v>41.79</v>
      </c>
      <c r="G483" s="37"/>
      <c r="H483" s="141">
        <f>F483*G483</f>
        <v>0</v>
      </c>
      <c r="I483" s="142"/>
      <c r="J483" s="265"/>
      <c r="K483" s="264"/>
      <c r="L483" s="84"/>
      <c r="M483" s="84"/>
      <c r="N483" s="84"/>
      <c r="O483" s="84"/>
      <c r="P483" s="84"/>
      <c r="Q483" s="84"/>
      <c r="R483" s="84"/>
      <c r="S483" s="84"/>
      <c r="T483" s="84"/>
      <c r="U483" s="84"/>
      <c r="V483" s="84"/>
      <c r="W483" s="84"/>
      <c r="X483" s="84"/>
      <c r="Y483" s="84"/>
      <c r="Z483" s="84"/>
      <c r="AA483" s="84"/>
      <c r="AB483" s="84"/>
      <c r="AC483" s="84"/>
      <c r="AD483" s="84"/>
      <c r="AE483" s="84"/>
      <c r="AF483" s="84"/>
      <c r="AG483" s="84"/>
      <c r="AH483" s="84"/>
      <c r="AI483" s="84"/>
      <c r="AJ483" s="84"/>
    </row>
    <row r="484" spans="1:36" s="153" customFormat="1" ht="13.5" customHeight="1">
      <c r="A484" s="196" t="s">
        <v>757</v>
      </c>
      <c r="B484" s="51"/>
      <c r="C484" s="46"/>
      <c r="D484" s="42" t="s">
        <v>457</v>
      </c>
      <c r="E484" s="83" t="s">
        <v>21</v>
      </c>
      <c r="F484" s="52">
        <v>43.69</v>
      </c>
      <c r="G484" s="37"/>
      <c r="H484" s="141">
        <f>F484*G484</f>
        <v>0</v>
      </c>
      <c r="I484" s="142"/>
      <c r="J484" s="265"/>
      <c r="K484" s="264"/>
      <c r="L484" s="84"/>
      <c r="M484" s="84"/>
      <c r="N484" s="84"/>
      <c r="O484" s="84"/>
      <c r="P484" s="84"/>
      <c r="Q484" s="84"/>
      <c r="R484" s="84"/>
      <c r="S484" s="84"/>
      <c r="T484" s="84"/>
      <c r="U484" s="84"/>
      <c r="V484" s="84"/>
      <c r="W484" s="84"/>
      <c r="X484" s="84"/>
      <c r="Y484" s="84"/>
      <c r="Z484" s="84"/>
      <c r="AA484" s="84"/>
      <c r="AB484" s="84"/>
      <c r="AC484" s="84"/>
      <c r="AD484" s="84"/>
      <c r="AE484" s="84"/>
      <c r="AF484" s="84"/>
      <c r="AG484" s="84"/>
      <c r="AH484" s="84"/>
      <c r="AI484" s="84"/>
      <c r="AJ484" s="84"/>
    </row>
    <row r="485" spans="1:36" s="153" customFormat="1" ht="27" customHeight="1">
      <c r="A485" s="196" t="s">
        <v>758</v>
      </c>
      <c r="B485" s="51"/>
      <c r="C485" s="46"/>
      <c r="D485" s="42" t="s">
        <v>458</v>
      </c>
      <c r="E485" s="83" t="s">
        <v>21</v>
      </c>
      <c r="F485" s="52">
        <v>41.79</v>
      </c>
      <c r="G485" s="9"/>
      <c r="H485" s="141">
        <f>F485*G485</f>
        <v>0</v>
      </c>
      <c r="I485" s="142"/>
      <c r="J485" s="264"/>
      <c r="K485" s="84"/>
      <c r="L485" s="84"/>
      <c r="M485" s="84"/>
      <c r="N485" s="84"/>
      <c r="O485" s="84"/>
      <c r="P485" s="84"/>
      <c r="Q485" s="84"/>
      <c r="R485" s="84"/>
      <c r="S485" s="84"/>
      <c r="T485" s="84"/>
      <c r="U485" s="84"/>
      <c r="V485" s="84"/>
      <c r="W485" s="84"/>
      <c r="X485" s="84"/>
      <c r="Y485" s="84"/>
      <c r="Z485" s="84"/>
      <c r="AA485" s="84"/>
      <c r="AB485" s="84"/>
      <c r="AC485" s="84"/>
      <c r="AD485" s="84"/>
      <c r="AE485" s="84"/>
      <c r="AF485" s="84"/>
      <c r="AG485" s="84"/>
      <c r="AH485" s="84"/>
      <c r="AI485" s="84"/>
      <c r="AJ485" s="84"/>
    </row>
    <row r="486" spans="1:36" s="153" customFormat="1" ht="24" customHeight="1">
      <c r="A486" s="45"/>
      <c r="B486" s="51"/>
      <c r="C486" s="46"/>
      <c r="D486" s="42" t="s">
        <v>441</v>
      </c>
      <c r="E486" s="46"/>
      <c r="F486" s="146"/>
      <c r="G486" s="77"/>
      <c r="H486" s="77"/>
      <c r="I486" s="142"/>
      <c r="J486" s="187"/>
      <c r="K486" s="187"/>
      <c r="L486" s="187"/>
      <c r="M486" s="187"/>
      <c r="N486" s="187"/>
      <c r="O486" s="187"/>
      <c r="P486" s="187"/>
      <c r="Q486" s="84"/>
      <c r="R486" s="84"/>
      <c r="S486" s="84"/>
      <c r="T486" s="84"/>
      <c r="U486" s="84"/>
      <c r="V486" s="84"/>
      <c r="W486" s="84"/>
      <c r="X486" s="84"/>
      <c r="Y486" s="84"/>
      <c r="Z486" s="84"/>
      <c r="AA486" s="84"/>
      <c r="AB486" s="84"/>
      <c r="AC486" s="84"/>
      <c r="AD486" s="84"/>
      <c r="AE486" s="84"/>
      <c r="AF486" s="84"/>
      <c r="AG486" s="84"/>
      <c r="AH486" s="84"/>
      <c r="AI486" s="84"/>
      <c r="AJ486" s="84"/>
    </row>
    <row r="487" spans="1:36" s="153" customFormat="1" ht="13.5" customHeight="1">
      <c r="A487" s="45"/>
      <c r="B487" s="51"/>
      <c r="C487" s="46"/>
      <c r="D487" s="42" t="s">
        <v>442</v>
      </c>
      <c r="E487" s="46"/>
      <c r="F487" s="50"/>
      <c r="G487" s="77"/>
      <c r="H487" s="77"/>
      <c r="I487" s="142"/>
      <c r="J487" s="84"/>
      <c r="K487" s="84"/>
      <c r="L487" s="84"/>
      <c r="M487" s="84"/>
      <c r="N487" s="84"/>
      <c r="O487" s="84"/>
      <c r="P487" s="84"/>
      <c r="Q487" s="84"/>
      <c r="R487" s="84"/>
      <c r="S487" s="84"/>
      <c r="T487" s="84"/>
      <c r="U487" s="84"/>
      <c r="V487" s="84"/>
      <c r="W487" s="84"/>
      <c r="X487" s="84"/>
      <c r="Y487" s="84"/>
      <c r="Z487" s="84"/>
      <c r="AA487" s="84"/>
      <c r="AB487" s="84"/>
      <c r="AC487" s="84"/>
      <c r="AD487" s="84"/>
      <c r="AE487" s="84"/>
      <c r="AF487" s="84"/>
      <c r="AG487" s="84"/>
      <c r="AH487" s="84"/>
      <c r="AI487" s="84"/>
      <c r="AJ487" s="84"/>
    </row>
    <row r="488" spans="1:36" s="60" customFormat="1" ht="13.5" customHeight="1">
      <c r="A488" s="256"/>
      <c r="B488" s="257"/>
      <c r="C488" s="257"/>
      <c r="D488" s="258" t="s">
        <v>454</v>
      </c>
      <c r="E488" s="259"/>
      <c r="F488" s="260">
        <f>1.45*(25+0.6*2)</f>
        <v>37.989999999999995</v>
      </c>
      <c r="G488" s="261"/>
      <c r="H488" s="261"/>
      <c r="I488" s="262"/>
      <c r="L488" s="225"/>
    </row>
    <row r="489" spans="1:36" s="60" customFormat="1" ht="27" customHeight="1">
      <c r="A489" s="45">
        <v>139</v>
      </c>
      <c r="B489" s="46">
        <v>713</v>
      </c>
      <c r="C489" s="46" t="s">
        <v>161</v>
      </c>
      <c r="D489" s="46" t="s">
        <v>389</v>
      </c>
      <c r="E489" s="46" t="s">
        <v>21</v>
      </c>
      <c r="F489" s="50">
        <f>F493</f>
        <v>37.209999999999994</v>
      </c>
      <c r="G489" s="183">
        <f>SUM(H491:H492)/F489</f>
        <v>0</v>
      </c>
      <c r="H489" s="47">
        <f>F489*G489</f>
        <v>0</v>
      </c>
      <c r="I489" s="48" t="s">
        <v>192</v>
      </c>
      <c r="J489" s="154"/>
    </row>
    <row r="490" spans="1:36" s="60" customFormat="1" ht="13.5" customHeight="1">
      <c r="A490" s="45"/>
      <c r="B490" s="46"/>
      <c r="C490" s="46"/>
      <c r="D490" s="42" t="s">
        <v>678</v>
      </c>
      <c r="E490" s="46"/>
      <c r="F490" s="50"/>
      <c r="G490" s="183"/>
      <c r="H490" s="47"/>
      <c r="I490" s="48"/>
      <c r="J490" s="154"/>
    </row>
    <row r="491" spans="1:36" s="153" customFormat="1" ht="13.5" customHeight="1">
      <c r="A491" s="196" t="s">
        <v>727</v>
      </c>
      <c r="B491" s="145"/>
      <c r="C491" s="145"/>
      <c r="D491" s="42" t="s">
        <v>230</v>
      </c>
      <c r="E491" s="83" t="s">
        <v>21</v>
      </c>
      <c r="F491" s="52">
        <v>37.21</v>
      </c>
      <c r="G491" s="9"/>
      <c r="H491" s="52">
        <f>F491*G491</f>
        <v>0</v>
      </c>
      <c r="I491" s="186"/>
      <c r="J491" s="97"/>
      <c r="K491" s="60"/>
      <c r="L491" s="97"/>
      <c r="M491" s="60"/>
      <c r="N491" s="60"/>
      <c r="O491" s="60"/>
      <c r="P491" s="60"/>
      <c r="Q491" s="60"/>
      <c r="R491" s="60"/>
      <c r="S491" s="60"/>
      <c r="T491" s="61"/>
      <c r="U491" s="253"/>
      <c r="V491" s="61"/>
      <c r="W491" s="61"/>
      <c r="X491" s="84"/>
      <c r="Y491" s="84"/>
      <c r="Z491" s="84"/>
      <c r="AA491" s="84"/>
    </row>
    <row r="492" spans="1:36" s="153" customFormat="1" ht="13.5" customHeight="1">
      <c r="A492" s="196" t="s">
        <v>728</v>
      </c>
      <c r="B492" s="145"/>
      <c r="C492" s="145"/>
      <c r="D492" s="42" t="s">
        <v>231</v>
      </c>
      <c r="E492" s="83" t="s">
        <v>21</v>
      </c>
      <c r="F492" s="52">
        <v>40.93</v>
      </c>
      <c r="G492" s="9"/>
      <c r="H492" s="52">
        <f>F492*G492</f>
        <v>0</v>
      </c>
      <c r="I492" s="186"/>
      <c r="J492" s="84"/>
      <c r="K492" s="249"/>
      <c r="L492" s="248"/>
      <c r="M492" s="249"/>
      <c r="N492" s="249"/>
      <c r="O492" s="249"/>
      <c r="P492" s="249"/>
      <c r="Q492" s="249"/>
      <c r="R492" s="249"/>
      <c r="S492" s="249"/>
      <c r="T492" s="250"/>
      <c r="U492" s="255"/>
      <c r="V492" s="61"/>
      <c r="W492" s="61"/>
      <c r="X492" s="84"/>
      <c r="Y492" s="84"/>
      <c r="Z492" s="84"/>
      <c r="AA492" s="84"/>
    </row>
    <row r="493" spans="1:36" s="60" customFormat="1" ht="13.5" customHeight="1">
      <c r="A493" s="140"/>
      <c r="B493" s="42"/>
      <c r="C493" s="42"/>
      <c r="D493" s="42" t="s">
        <v>390</v>
      </c>
      <c r="E493" s="42"/>
      <c r="F493" s="52">
        <f>(18.74+18.47)</f>
        <v>37.209999999999994</v>
      </c>
      <c r="G493" s="141"/>
      <c r="H493" s="141"/>
      <c r="I493" s="186"/>
    </row>
    <row r="494" spans="1:36" s="60" customFormat="1" ht="13.5" customHeight="1">
      <c r="A494" s="196"/>
      <c r="B494" s="51"/>
      <c r="C494" s="46"/>
      <c r="D494" s="240" t="s">
        <v>163</v>
      </c>
      <c r="E494" s="46"/>
      <c r="F494" s="146"/>
      <c r="G494" s="47"/>
      <c r="H494" s="47"/>
      <c r="I494" s="186"/>
      <c r="L494" s="225"/>
    </row>
    <row r="495" spans="1:36" s="60" customFormat="1" ht="27" customHeight="1">
      <c r="A495" s="45">
        <v>140</v>
      </c>
      <c r="B495" s="46">
        <v>713</v>
      </c>
      <c r="C495" s="46" t="s">
        <v>162</v>
      </c>
      <c r="D495" s="46" t="s">
        <v>376</v>
      </c>
      <c r="E495" s="46" t="s">
        <v>21</v>
      </c>
      <c r="F495" s="50">
        <f>SUM(F500:F500)</f>
        <v>113.72999999999999</v>
      </c>
      <c r="G495" s="183">
        <f>SUM(H497:H499)/F495</f>
        <v>0</v>
      </c>
      <c r="H495" s="47">
        <f>F495*G495</f>
        <v>0</v>
      </c>
      <c r="I495" s="48" t="s">
        <v>192</v>
      </c>
      <c r="J495" s="154"/>
      <c r="L495" s="225"/>
    </row>
    <row r="496" spans="1:36" s="60" customFormat="1" ht="13.5" customHeight="1">
      <c r="A496" s="45"/>
      <c r="B496" s="46"/>
      <c r="C496" s="46"/>
      <c r="D496" s="42" t="s">
        <v>377</v>
      </c>
      <c r="E496" s="46"/>
      <c r="F496" s="50"/>
      <c r="G496" s="183"/>
      <c r="H496" s="47"/>
      <c r="I496" s="48"/>
      <c r="L496" s="225"/>
    </row>
    <row r="497" spans="1:27" s="60" customFormat="1" ht="27" customHeight="1">
      <c r="A497" s="196" t="s">
        <v>729</v>
      </c>
      <c r="B497" s="46"/>
      <c r="C497" s="46"/>
      <c r="D497" s="42" t="s">
        <v>679</v>
      </c>
      <c r="E497" s="83" t="s">
        <v>21</v>
      </c>
      <c r="F497" s="52">
        <v>125.11</v>
      </c>
      <c r="G497" s="9"/>
      <c r="H497" s="52">
        <f>F497*G497</f>
        <v>0</v>
      </c>
      <c r="I497" s="48"/>
      <c r="J497" s="148"/>
      <c r="L497" s="225"/>
    </row>
    <row r="498" spans="1:27" s="60" customFormat="1" ht="27" customHeight="1">
      <c r="A498" s="196" t="s">
        <v>730</v>
      </c>
      <c r="B498" s="46"/>
      <c r="C498" s="46"/>
      <c r="D498" s="42" t="s">
        <v>391</v>
      </c>
      <c r="E498" s="83" t="s">
        <v>21</v>
      </c>
      <c r="F498" s="52">
        <v>125.11</v>
      </c>
      <c r="G498" s="9"/>
      <c r="H498" s="52">
        <f>F498*G498</f>
        <v>0</v>
      </c>
      <c r="I498" s="48"/>
      <c r="L498" s="225"/>
    </row>
    <row r="499" spans="1:27" s="60" customFormat="1" ht="27" customHeight="1">
      <c r="A499" s="196" t="s">
        <v>759</v>
      </c>
      <c r="B499" s="145"/>
      <c r="C499" s="145"/>
      <c r="D499" s="42" t="s">
        <v>392</v>
      </c>
      <c r="E499" s="83" t="s">
        <v>21</v>
      </c>
      <c r="F499" s="52">
        <v>125.11</v>
      </c>
      <c r="G499" s="9"/>
      <c r="H499" s="52">
        <f>F499*G499</f>
        <v>0</v>
      </c>
      <c r="I499" s="186"/>
      <c r="J499" s="81"/>
      <c r="L499" s="225"/>
    </row>
    <row r="500" spans="1:27" s="60" customFormat="1" ht="13.5" customHeight="1">
      <c r="A500" s="140"/>
      <c r="B500" s="42"/>
      <c r="C500" s="42"/>
      <c r="D500" s="42" t="s">
        <v>378</v>
      </c>
      <c r="E500" s="42"/>
      <c r="F500" s="52">
        <f>2.55*44.6</f>
        <v>113.72999999999999</v>
      </c>
      <c r="G500" s="141"/>
      <c r="H500" s="141"/>
      <c r="I500" s="186"/>
      <c r="L500" s="225"/>
    </row>
    <row r="501" spans="1:27" s="60" customFormat="1" ht="13.5" customHeight="1">
      <c r="A501" s="196"/>
      <c r="B501" s="51"/>
      <c r="C501" s="46"/>
      <c r="D501" s="240" t="s">
        <v>163</v>
      </c>
      <c r="E501" s="46"/>
      <c r="F501" s="146"/>
      <c r="G501" s="47"/>
      <c r="H501" s="47"/>
      <c r="I501" s="186"/>
      <c r="J501" s="81"/>
      <c r="L501" s="225"/>
    </row>
    <row r="502" spans="1:27" s="224" customFormat="1" ht="13.5" customHeight="1">
      <c r="A502" s="45">
        <v>141</v>
      </c>
      <c r="B502" s="46">
        <v>713</v>
      </c>
      <c r="C502" s="46" t="s">
        <v>167</v>
      </c>
      <c r="D502" s="46" t="s">
        <v>479</v>
      </c>
      <c r="E502" s="46" t="s">
        <v>21</v>
      </c>
      <c r="F502" s="50">
        <f>SUM(F506:F506)</f>
        <v>11.35</v>
      </c>
      <c r="G502" s="183">
        <f>SUM(H504:H505)/F502</f>
        <v>0</v>
      </c>
      <c r="H502" s="47">
        <f>F502*G502</f>
        <v>0</v>
      </c>
      <c r="I502" s="48" t="s">
        <v>192</v>
      </c>
      <c r="J502" s="116"/>
      <c r="K502" s="184"/>
      <c r="L502" s="184"/>
      <c r="M502" s="131"/>
      <c r="N502" s="131"/>
      <c r="O502" s="131"/>
      <c r="P502" s="131"/>
      <c r="Q502" s="131"/>
      <c r="R502" s="131"/>
      <c r="S502" s="131"/>
    </row>
    <row r="503" spans="1:27" s="60" customFormat="1" ht="25.5" customHeight="1">
      <c r="A503" s="196"/>
      <c r="B503" s="51"/>
      <c r="C503" s="46"/>
      <c r="D503" s="42" t="s">
        <v>480</v>
      </c>
      <c r="E503" s="83"/>
      <c r="F503" s="52"/>
      <c r="G503" s="266"/>
      <c r="H503" s="52"/>
      <c r="I503" s="48"/>
      <c r="J503" s="231"/>
    </row>
    <row r="504" spans="1:27" s="153" customFormat="1" ht="13.5" customHeight="1">
      <c r="A504" s="196" t="s">
        <v>760</v>
      </c>
      <c r="B504" s="145"/>
      <c r="C504" s="145"/>
      <c r="D504" s="42" t="s">
        <v>481</v>
      </c>
      <c r="E504" s="83" t="s">
        <v>21</v>
      </c>
      <c r="F504" s="52">
        <v>11.35</v>
      </c>
      <c r="G504" s="9"/>
      <c r="H504" s="52">
        <f>F504*G504</f>
        <v>0</v>
      </c>
      <c r="I504" s="186"/>
      <c r="J504" s="97"/>
      <c r="K504" s="60"/>
      <c r="L504" s="97"/>
      <c r="M504" s="60"/>
      <c r="N504" s="60"/>
      <c r="O504" s="60"/>
      <c r="P504" s="60"/>
      <c r="Q504" s="60"/>
      <c r="R504" s="60"/>
      <c r="S504" s="60"/>
      <c r="T504" s="61"/>
      <c r="U504" s="253"/>
      <c r="V504" s="61"/>
      <c r="W504" s="61"/>
      <c r="X504" s="84"/>
      <c r="Y504" s="84"/>
      <c r="Z504" s="84"/>
      <c r="AA504" s="84"/>
    </row>
    <row r="505" spans="1:27" s="153" customFormat="1" ht="13.5" customHeight="1">
      <c r="A505" s="196" t="s">
        <v>761</v>
      </c>
      <c r="B505" s="145"/>
      <c r="C505" s="145"/>
      <c r="D505" s="42" t="s">
        <v>482</v>
      </c>
      <c r="E505" s="83" t="s">
        <v>21</v>
      </c>
      <c r="F505" s="52">
        <v>12.49</v>
      </c>
      <c r="G505" s="9"/>
      <c r="H505" s="52">
        <f>F505*G505</f>
        <v>0</v>
      </c>
      <c r="I505" s="186"/>
      <c r="J505" s="84"/>
      <c r="K505" s="249"/>
      <c r="L505" s="248"/>
      <c r="M505" s="249"/>
      <c r="N505" s="249"/>
      <c r="O505" s="249"/>
      <c r="P505" s="249"/>
      <c r="Q505" s="249"/>
      <c r="R505" s="249"/>
      <c r="S505" s="249"/>
      <c r="T505" s="250"/>
      <c r="U505" s="255"/>
      <c r="V505" s="61"/>
      <c r="W505" s="61"/>
      <c r="X505" s="84"/>
      <c r="Y505" s="84"/>
      <c r="Z505" s="84"/>
      <c r="AA505" s="84"/>
    </row>
    <row r="506" spans="1:27" s="60" customFormat="1" ht="13.5" customHeight="1">
      <c r="A506" s="196"/>
      <c r="B506" s="51"/>
      <c r="C506" s="46"/>
      <c r="D506" s="42" t="s">
        <v>483</v>
      </c>
      <c r="E506" s="83"/>
      <c r="F506" s="52">
        <f>0.25*(45.4)</f>
        <v>11.35</v>
      </c>
      <c r="G506" s="52"/>
      <c r="H506" s="52"/>
      <c r="I506" s="48"/>
      <c r="J506" s="116"/>
    </row>
    <row r="507" spans="1:27" s="224" customFormat="1" ht="13.5" customHeight="1">
      <c r="A507" s="45">
        <v>142</v>
      </c>
      <c r="B507" s="46">
        <v>713</v>
      </c>
      <c r="C507" s="46" t="s">
        <v>554</v>
      </c>
      <c r="D507" s="46" t="s">
        <v>555</v>
      </c>
      <c r="E507" s="46" t="s">
        <v>21</v>
      </c>
      <c r="F507" s="50">
        <v>2.23</v>
      </c>
      <c r="G507" s="11"/>
      <c r="H507" s="47">
        <f>F507*G507</f>
        <v>0</v>
      </c>
      <c r="I507" s="48" t="s">
        <v>192</v>
      </c>
      <c r="J507" s="116"/>
      <c r="K507" s="267"/>
      <c r="L507" s="184"/>
      <c r="M507" s="212"/>
      <c r="N507" s="131"/>
      <c r="O507" s="131"/>
      <c r="P507" s="131"/>
      <c r="Q507" s="131"/>
      <c r="R507" s="131"/>
      <c r="S507" s="131"/>
    </row>
    <row r="508" spans="1:27" s="60" customFormat="1" ht="13.5" customHeight="1">
      <c r="A508" s="45">
        <v>143</v>
      </c>
      <c r="B508" s="46">
        <v>713</v>
      </c>
      <c r="C508" s="46" t="s">
        <v>556</v>
      </c>
      <c r="D508" s="46" t="s">
        <v>557</v>
      </c>
      <c r="E508" s="46" t="s">
        <v>21</v>
      </c>
      <c r="F508" s="50">
        <v>13.75</v>
      </c>
      <c r="G508" s="11"/>
      <c r="H508" s="47">
        <f>F508*G508</f>
        <v>0</v>
      </c>
      <c r="I508" s="48" t="s">
        <v>192</v>
      </c>
      <c r="J508" s="116"/>
      <c r="K508" s="267"/>
      <c r="L508" s="268"/>
      <c r="M508" s="212"/>
    </row>
    <row r="509" spans="1:27" s="60" customFormat="1" ht="13.5" customHeight="1">
      <c r="A509" s="45">
        <v>144</v>
      </c>
      <c r="B509" s="51" t="s">
        <v>55</v>
      </c>
      <c r="C509" s="46">
        <v>998713202</v>
      </c>
      <c r="D509" s="46" t="s">
        <v>57</v>
      </c>
      <c r="E509" s="46" t="s">
        <v>47</v>
      </c>
      <c r="F509" s="50">
        <v>1.95</v>
      </c>
      <c r="G509" s="11"/>
      <c r="H509" s="47">
        <f>F509*G509</f>
        <v>0</v>
      </c>
      <c r="I509" s="48" t="s">
        <v>183</v>
      </c>
      <c r="J509" s="269"/>
    </row>
    <row r="510" spans="1:27" s="153" customFormat="1" ht="13.5" customHeight="1">
      <c r="A510" s="45">
        <v>145</v>
      </c>
      <c r="B510" s="46" t="s">
        <v>138</v>
      </c>
      <c r="C510" s="46" t="s">
        <v>48</v>
      </c>
      <c r="D510" s="46" t="s">
        <v>49</v>
      </c>
      <c r="E510" s="46" t="s">
        <v>28</v>
      </c>
      <c r="F510" s="50">
        <f>F511</f>
        <v>60</v>
      </c>
      <c r="G510" s="11"/>
      <c r="H510" s="47">
        <f>F510*G510</f>
        <v>0</v>
      </c>
      <c r="I510" s="48" t="s">
        <v>183</v>
      </c>
      <c r="J510" s="84"/>
      <c r="K510" s="84"/>
      <c r="L510" s="84"/>
      <c r="M510" s="84"/>
      <c r="N510" s="84"/>
      <c r="O510" s="84"/>
      <c r="P510" s="84"/>
      <c r="Q510" s="84"/>
      <c r="R510" s="84"/>
      <c r="S510" s="84"/>
    </row>
    <row r="511" spans="1:27" s="61" customFormat="1" ht="13.5" customHeight="1">
      <c r="A511" s="144"/>
      <c r="B511" s="145"/>
      <c r="C511" s="145"/>
      <c r="D511" s="42" t="s">
        <v>56</v>
      </c>
      <c r="E511" s="145"/>
      <c r="F511" s="52">
        <v>60</v>
      </c>
      <c r="G511" s="147"/>
      <c r="H511" s="47"/>
      <c r="I511" s="186"/>
      <c r="J511" s="60"/>
      <c r="K511" s="60"/>
      <c r="L511" s="60"/>
      <c r="M511" s="60"/>
      <c r="N511" s="60"/>
      <c r="O511" s="60"/>
      <c r="P511" s="60"/>
      <c r="Q511" s="60"/>
      <c r="R511" s="60"/>
      <c r="S511" s="60"/>
    </row>
    <row r="512" spans="1:27" s="61" customFormat="1" ht="13.5" customHeight="1">
      <c r="A512" s="144"/>
      <c r="B512" s="145"/>
      <c r="C512" s="145"/>
      <c r="D512" s="42" t="s">
        <v>50</v>
      </c>
      <c r="E512" s="145"/>
      <c r="F512" s="52"/>
      <c r="G512" s="147"/>
      <c r="H512" s="47"/>
      <c r="I512" s="186"/>
      <c r="J512" s="60"/>
      <c r="K512" s="60"/>
      <c r="L512" s="60"/>
      <c r="M512" s="60"/>
      <c r="N512" s="60"/>
      <c r="O512" s="60"/>
      <c r="P512" s="60"/>
      <c r="Q512" s="60"/>
      <c r="R512" s="60"/>
      <c r="S512" s="60"/>
    </row>
    <row r="513" spans="1:12" s="60" customFormat="1" ht="13.5" customHeight="1">
      <c r="A513" s="111"/>
      <c r="B513" s="112"/>
      <c r="C513" s="112">
        <v>763</v>
      </c>
      <c r="D513" s="112" t="s">
        <v>90</v>
      </c>
      <c r="E513" s="112"/>
      <c r="F513" s="113"/>
      <c r="G513" s="114"/>
      <c r="H513" s="114">
        <f>SUM(H514:H539)</f>
        <v>0</v>
      </c>
      <c r="I513" s="152"/>
      <c r="L513" s="225"/>
    </row>
    <row r="514" spans="1:12" s="60" customFormat="1" ht="13.5" customHeight="1">
      <c r="A514" s="45">
        <v>146</v>
      </c>
      <c r="B514" s="51" t="s">
        <v>91</v>
      </c>
      <c r="C514" s="46">
        <v>763111411</v>
      </c>
      <c r="D514" s="46" t="s">
        <v>238</v>
      </c>
      <c r="E514" s="46" t="s">
        <v>21</v>
      </c>
      <c r="F514" s="50">
        <f>SUM(F515:F515)</f>
        <v>11.74</v>
      </c>
      <c r="G514" s="11"/>
      <c r="H514" s="47">
        <f>F514*G514</f>
        <v>0</v>
      </c>
      <c r="I514" s="48" t="s">
        <v>183</v>
      </c>
      <c r="J514" s="81"/>
      <c r="L514" s="225"/>
    </row>
    <row r="515" spans="1:12" s="60" customFormat="1" ht="13.5" customHeight="1">
      <c r="A515" s="111"/>
      <c r="B515" s="112"/>
      <c r="C515" s="112"/>
      <c r="D515" s="42" t="s">
        <v>252</v>
      </c>
      <c r="E515" s="145"/>
      <c r="F515" s="52">
        <v>11.74</v>
      </c>
      <c r="G515" s="114"/>
      <c r="H515" s="114"/>
      <c r="I515" s="152"/>
      <c r="L515" s="225"/>
    </row>
    <row r="516" spans="1:12" s="60" customFormat="1" ht="13.5" customHeight="1">
      <c r="A516" s="45">
        <v>147</v>
      </c>
      <c r="B516" s="51" t="s">
        <v>91</v>
      </c>
      <c r="C516" s="46" t="s">
        <v>432</v>
      </c>
      <c r="D516" s="46" t="s">
        <v>433</v>
      </c>
      <c r="E516" s="46" t="s">
        <v>21</v>
      </c>
      <c r="F516" s="50">
        <f>SUM(F518:F519)</f>
        <v>137.05199999999999</v>
      </c>
      <c r="G516" s="11"/>
      <c r="H516" s="47">
        <f>F516*G516</f>
        <v>0</v>
      </c>
      <c r="I516" s="48" t="s">
        <v>259</v>
      </c>
      <c r="L516" s="225"/>
    </row>
    <row r="517" spans="1:12" s="60" customFormat="1" ht="13.5" customHeight="1">
      <c r="A517" s="45"/>
      <c r="B517" s="51"/>
      <c r="C517" s="46"/>
      <c r="D517" s="42" t="s">
        <v>435</v>
      </c>
      <c r="E517" s="46"/>
      <c r="F517" s="50"/>
      <c r="G517" s="47"/>
      <c r="H517" s="47"/>
      <c r="I517" s="48"/>
      <c r="L517" s="225"/>
    </row>
    <row r="518" spans="1:12" s="60" customFormat="1" ht="13.5" customHeight="1">
      <c r="A518" s="111"/>
      <c r="B518" s="112"/>
      <c r="C518" s="112"/>
      <c r="D518" s="42" t="s">
        <v>265</v>
      </c>
      <c r="E518" s="145"/>
      <c r="F518" s="52">
        <v>71.067999999999998</v>
      </c>
      <c r="G518" s="114"/>
      <c r="H518" s="114"/>
      <c r="I518" s="152"/>
      <c r="J518" s="81"/>
      <c r="L518" s="225"/>
    </row>
    <row r="519" spans="1:12" s="60" customFormat="1" ht="13.5" customHeight="1">
      <c r="A519" s="111"/>
      <c r="B519" s="112"/>
      <c r="C519" s="112"/>
      <c r="D519" s="42" t="s">
        <v>266</v>
      </c>
      <c r="E519" s="145"/>
      <c r="F519" s="52">
        <f>65.984</f>
        <v>65.983999999999995</v>
      </c>
      <c r="G519" s="114"/>
      <c r="H519" s="114"/>
      <c r="I519" s="152"/>
      <c r="J519" s="81"/>
      <c r="L519" s="225"/>
    </row>
    <row r="520" spans="1:12" s="60" customFormat="1" ht="13.5" customHeight="1">
      <c r="A520" s="99">
        <v>148</v>
      </c>
      <c r="B520" s="166" t="s">
        <v>251</v>
      </c>
      <c r="C520" s="100">
        <v>59030023</v>
      </c>
      <c r="D520" s="100" t="s">
        <v>294</v>
      </c>
      <c r="E520" s="100" t="s">
        <v>21</v>
      </c>
      <c r="F520" s="123">
        <f>SUM(F522:F523)</f>
        <v>150.75720000000001</v>
      </c>
      <c r="G520" s="41"/>
      <c r="H520" s="102">
        <f>F520*G520</f>
        <v>0</v>
      </c>
      <c r="I520" s="103" t="s">
        <v>183</v>
      </c>
      <c r="J520" s="81"/>
      <c r="L520" s="225"/>
    </row>
    <row r="521" spans="1:12" s="60" customFormat="1" ht="13.5" customHeight="1">
      <c r="A521" s="99"/>
      <c r="B521" s="166"/>
      <c r="C521" s="100"/>
      <c r="D521" s="106" t="s">
        <v>434</v>
      </c>
      <c r="E521" s="100"/>
      <c r="F521" s="123"/>
      <c r="G521" s="102"/>
      <c r="H521" s="102"/>
      <c r="I521" s="103"/>
      <c r="J521" s="81"/>
      <c r="L521" s="225"/>
    </row>
    <row r="522" spans="1:12" s="60" customFormat="1" ht="13.5" customHeight="1">
      <c r="A522" s="256"/>
      <c r="B522" s="257"/>
      <c r="C522" s="257"/>
      <c r="D522" s="106" t="s">
        <v>263</v>
      </c>
      <c r="E522" s="259"/>
      <c r="F522" s="129">
        <f>(71.068)*1.1</f>
        <v>78.174800000000005</v>
      </c>
      <c r="G522" s="261"/>
      <c r="H522" s="261"/>
      <c r="I522" s="262"/>
      <c r="L522" s="225"/>
    </row>
    <row r="523" spans="1:12" s="60" customFormat="1" ht="13.5" customHeight="1">
      <c r="A523" s="256"/>
      <c r="B523" s="257"/>
      <c r="C523" s="257"/>
      <c r="D523" s="106" t="s">
        <v>264</v>
      </c>
      <c r="E523" s="259"/>
      <c r="F523" s="129">
        <f>(65.984)*1.1</f>
        <v>72.582400000000007</v>
      </c>
      <c r="G523" s="261"/>
      <c r="H523" s="261"/>
      <c r="I523" s="262"/>
      <c r="J523" s="81"/>
      <c r="L523" s="225"/>
    </row>
    <row r="524" spans="1:12" s="60" customFormat="1" ht="13.5" customHeight="1">
      <c r="A524" s="45">
        <v>149</v>
      </c>
      <c r="B524" s="51" t="s">
        <v>91</v>
      </c>
      <c r="C524" s="46">
        <v>763111717</v>
      </c>
      <c r="D524" s="46" t="s">
        <v>93</v>
      </c>
      <c r="E524" s="46" t="s">
        <v>21</v>
      </c>
      <c r="F524" s="50">
        <f>SUM(F525:F525)</f>
        <v>148.79000000000002</v>
      </c>
      <c r="G524" s="11"/>
      <c r="H524" s="47">
        <f>F524*G524</f>
        <v>0</v>
      </c>
      <c r="I524" s="48" t="s">
        <v>183</v>
      </c>
      <c r="L524" s="225"/>
    </row>
    <row r="525" spans="1:12" s="60" customFormat="1" ht="13.5" customHeight="1">
      <c r="A525" s="111"/>
      <c r="B525" s="112"/>
      <c r="C525" s="112"/>
      <c r="D525" s="42" t="s">
        <v>489</v>
      </c>
      <c r="E525" s="145"/>
      <c r="F525" s="52">
        <f>137.05+11.74</f>
        <v>148.79000000000002</v>
      </c>
      <c r="G525" s="114"/>
      <c r="H525" s="114"/>
      <c r="I525" s="152"/>
      <c r="J525" s="270"/>
      <c r="L525" s="225"/>
    </row>
    <row r="526" spans="1:12" s="60" customFormat="1" ht="13.5" customHeight="1">
      <c r="A526" s="45">
        <v>150</v>
      </c>
      <c r="B526" s="51" t="s">
        <v>91</v>
      </c>
      <c r="C526" s="46">
        <v>763122521</v>
      </c>
      <c r="D526" s="46" t="s">
        <v>250</v>
      </c>
      <c r="E526" s="46" t="s">
        <v>21</v>
      </c>
      <c r="F526" s="50">
        <f>SUM(F527:F528)</f>
        <v>15.284000000000001</v>
      </c>
      <c r="G526" s="11"/>
      <c r="H526" s="47">
        <f>F526*G526</f>
        <v>0</v>
      </c>
      <c r="I526" s="48" t="s">
        <v>183</v>
      </c>
      <c r="L526" s="225"/>
    </row>
    <row r="527" spans="1:12" s="60" customFormat="1" ht="13.5" customHeight="1">
      <c r="A527" s="111"/>
      <c r="B527" s="112"/>
      <c r="C527" s="112"/>
      <c r="D527" s="42" t="s">
        <v>487</v>
      </c>
      <c r="E527" s="145"/>
      <c r="F527" s="52">
        <f>6.66</f>
        <v>6.66</v>
      </c>
      <c r="G527" s="114"/>
      <c r="H527" s="114"/>
      <c r="I527" s="152"/>
      <c r="J527" s="81"/>
      <c r="L527" s="225"/>
    </row>
    <row r="528" spans="1:12" s="60" customFormat="1" ht="13.5" customHeight="1">
      <c r="A528" s="111"/>
      <c r="B528" s="112"/>
      <c r="C528" s="112"/>
      <c r="D528" s="42" t="s">
        <v>485</v>
      </c>
      <c r="E528" s="145"/>
      <c r="F528" s="52">
        <v>8.6240000000000006</v>
      </c>
      <c r="G528" s="114"/>
      <c r="H528" s="114"/>
      <c r="I528" s="152"/>
      <c r="L528" s="225"/>
    </row>
    <row r="529" spans="1:19" s="168" customFormat="1" ht="13.5" customHeight="1">
      <c r="A529" s="45">
        <v>151</v>
      </c>
      <c r="B529" s="46" t="s">
        <v>91</v>
      </c>
      <c r="C529" s="46">
        <v>763121714</v>
      </c>
      <c r="D529" s="46" t="s">
        <v>96</v>
      </c>
      <c r="E529" s="46" t="s">
        <v>21</v>
      </c>
      <c r="F529" s="50">
        <f>F526</f>
        <v>15.284000000000001</v>
      </c>
      <c r="G529" s="11"/>
      <c r="H529" s="47">
        <f>F529*G529</f>
        <v>0</v>
      </c>
      <c r="I529" s="48" t="s">
        <v>183</v>
      </c>
      <c r="J529" s="136"/>
      <c r="K529" s="136"/>
      <c r="L529" s="136"/>
      <c r="M529" s="136"/>
      <c r="N529" s="136"/>
      <c r="O529" s="136"/>
      <c r="P529" s="136"/>
      <c r="Q529" s="136"/>
      <c r="R529" s="136"/>
      <c r="S529" s="136"/>
    </row>
    <row r="530" spans="1:19" s="60" customFormat="1" ht="13.5" customHeight="1">
      <c r="A530" s="45">
        <v>152</v>
      </c>
      <c r="B530" s="51" t="s">
        <v>91</v>
      </c>
      <c r="C530" s="46">
        <v>763131321</v>
      </c>
      <c r="D530" s="46" t="s">
        <v>680</v>
      </c>
      <c r="E530" s="46" t="s">
        <v>21</v>
      </c>
      <c r="F530" s="50">
        <f>SUM(F531:F533)</f>
        <v>751.60039999999992</v>
      </c>
      <c r="G530" s="11"/>
      <c r="H530" s="47">
        <f>F530*G530</f>
        <v>0</v>
      </c>
      <c r="I530" s="48" t="s">
        <v>183</v>
      </c>
      <c r="L530" s="225"/>
    </row>
    <row r="531" spans="1:19" s="60" customFormat="1" ht="13.5" customHeight="1">
      <c r="A531" s="111"/>
      <c r="B531" s="112"/>
      <c r="C531" s="112"/>
      <c r="D531" s="42" t="s">
        <v>647</v>
      </c>
      <c r="E531" s="145"/>
      <c r="F531" s="52">
        <f>179.5+8.4+75.32+20.65+75.32+18.47+18.74+17.9</f>
        <v>414.29999999999995</v>
      </c>
      <c r="G531" s="114"/>
      <c r="H531" s="114"/>
      <c r="I531" s="152"/>
      <c r="J531" s="81"/>
      <c r="L531" s="225"/>
    </row>
    <row r="532" spans="1:19" s="60" customFormat="1" ht="13.5" customHeight="1">
      <c r="A532" s="111"/>
      <c r="B532" s="112"/>
      <c r="C532" s="112"/>
      <c r="D532" s="83" t="s">
        <v>649</v>
      </c>
      <c r="E532" s="145"/>
      <c r="F532" s="52">
        <f>218.03+14.44+71.24+29.46</f>
        <v>333.16999999999996</v>
      </c>
      <c r="G532" s="271"/>
      <c r="H532" s="114"/>
      <c r="I532" s="152"/>
      <c r="L532" s="225"/>
    </row>
    <row r="533" spans="1:19" s="60" customFormat="1" ht="13.5" customHeight="1">
      <c r="A533" s="111"/>
      <c r="B533" s="112"/>
      <c r="C533" s="112"/>
      <c r="D533" s="83" t="s">
        <v>648</v>
      </c>
      <c r="E533" s="145"/>
      <c r="F533" s="52">
        <f>1.12+4.24*0.71</f>
        <v>4.1303999999999998</v>
      </c>
      <c r="G533" s="271"/>
      <c r="H533" s="114"/>
      <c r="I533" s="152"/>
      <c r="L533" s="225"/>
    </row>
    <row r="534" spans="1:19" s="60" customFormat="1" ht="13.5" customHeight="1">
      <c r="A534" s="45">
        <v>153</v>
      </c>
      <c r="B534" s="51" t="s">
        <v>91</v>
      </c>
      <c r="C534" s="46">
        <v>763131714</v>
      </c>
      <c r="D534" s="46" t="s">
        <v>232</v>
      </c>
      <c r="E534" s="46" t="s">
        <v>21</v>
      </c>
      <c r="F534" s="50">
        <f>SUM(F535:F535)</f>
        <v>751.60039999999992</v>
      </c>
      <c r="G534" s="11"/>
      <c r="H534" s="47">
        <f>F534*G534</f>
        <v>0</v>
      </c>
      <c r="I534" s="48" t="s">
        <v>183</v>
      </c>
      <c r="L534" s="225"/>
    </row>
    <row r="535" spans="1:19" s="60" customFormat="1" ht="13.5" customHeight="1">
      <c r="A535" s="111"/>
      <c r="B535" s="112"/>
      <c r="C535" s="112"/>
      <c r="D535" s="42" t="s">
        <v>488</v>
      </c>
      <c r="E535" s="145"/>
      <c r="F535" s="52">
        <f>F530</f>
        <v>751.60039999999992</v>
      </c>
      <c r="G535" s="114"/>
      <c r="H535" s="114"/>
      <c r="I535" s="152"/>
      <c r="L535" s="225"/>
    </row>
    <row r="536" spans="1:19" s="64" customFormat="1" ht="13.5" customHeight="1">
      <c r="A536" s="45">
        <v>154</v>
      </c>
      <c r="B536" s="51" t="s">
        <v>91</v>
      </c>
      <c r="C536" s="46">
        <v>998763402</v>
      </c>
      <c r="D536" s="46" t="s">
        <v>92</v>
      </c>
      <c r="E536" s="46" t="s">
        <v>47</v>
      </c>
      <c r="F536" s="50">
        <v>1.52</v>
      </c>
      <c r="G536" s="11"/>
      <c r="H536" s="47">
        <f>F536*G536</f>
        <v>0</v>
      </c>
      <c r="I536" s="48" t="s">
        <v>183</v>
      </c>
      <c r="J536" s="122"/>
      <c r="K536" s="60"/>
      <c r="L536" s="60"/>
      <c r="M536" s="60"/>
      <c r="N536" s="60"/>
      <c r="O536" s="60"/>
      <c r="P536" s="60"/>
      <c r="Q536" s="60"/>
      <c r="R536" s="60"/>
      <c r="S536" s="60"/>
    </row>
    <row r="537" spans="1:19" s="153" customFormat="1" ht="13.5" customHeight="1">
      <c r="A537" s="45">
        <v>155</v>
      </c>
      <c r="B537" s="46" t="s">
        <v>138</v>
      </c>
      <c r="C537" s="46" t="s">
        <v>109</v>
      </c>
      <c r="D537" s="46" t="s">
        <v>110</v>
      </c>
      <c r="E537" s="46" t="s">
        <v>28</v>
      </c>
      <c r="F537" s="50">
        <f>F538</f>
        <v>60</v>
      </c>
      <c r="G537" s="11"/>
      <c r="H537" s="47">
        <f>F537*G537</f>
        <v>0</v>
      </c>
      <c r="I537" s="48" t="s">
        <v>183</v>
      </c>
      <c r="J537" s="84"/>
      <c r="K537" s="84"/>
      <c r="L537" s="84"/>
      <c r="M537" s="84"/>
      <c r="N537" s="84"/>
      <c r="O537" s="84"/>
      <c r="P537" s="84"/>
      <c r="Q537" s="84"/>
      <c r="R537" s="84"/>
      <c r="S537" s="84"/>
    </row>
    <row r="538" spans="1:19" s="61" customFormat="1" ht="13.5" customHeight="1">
      <c r="A538" s="144"/>
      <c r="B538" s="145"/>
      <c r="C538" s="145"/>
      <c r="D538" s="42" t="s">
        <v>111</v>
      </c>
      <c r="E538" s="145"/>
      <c r="F538" s="52">
        <v>60</v>
      </c>
      <c r="G538" s="147"/>
      <c r="H538" s="47"/>
      <c r="I538" s="186"/>
      <c r="J538" s="60"/>
      <c r="K538" s="60"/>
      <c r="L538" s="60"/>
      <c r="M538" s="60"/>
      <c r="N538" s="60"/>
      <c r="O538" s="60"/>
      <c r="P538" s="60"/>
      <c r="Q538" s="60"/>
      <c r="R538" s="60"/>
      <c r="S538" s="60"/>
    </row>
    <row r="539" spans="1:19" s="61" customFormat="1" ht="13.5" customHeight="1">
      <c r="A539" s="144"/>
      <c r="B539" s="145"/>
      <c r="C539" s="145"/>
      <c r="D539" s="42" t="s">
        <v>50</v>
      </c>
      <c r="E539" s="145"/>
      <c r="F539" s="52"/>
      <c r="G539" s="147"/>
      <c r="H539" s="47"/>
      <c r="I539" s="186"/>
      <c r="J539" s="60"/>
      <c r="K539" s="60"/>
      <c r="L539" s="60"/>
      <c r="M539" s="60"/>
      <c r="N539" s="60"/>
      <c r="O539" s="60"/>
      <c r="P539" s="60"/>
      <c r="Q539" s="60"/>
      <c r="R539" s="60"/>
      <c r="S539" s="60"/>
    </row>
    <row r="540" spans="1:19" s="60" customFormat="1" ht="13.5" customHeight="1">
      <c r="A540" s="111"/>
      <c r="B540" s="112"/>
      <c r="C540" s="112">
        <v>767</v>
      </c>
      <c r="D540" s="112" t="s">
        <v>155</v>
      </c>
      <c r="E540" s="112"/>
      <c r="F540" s="113"/>
      <c r="G540" s="114"/>
      <c r="H540" s="114">
        <f>SUM(H541:H552)</f>
        <v>0</v>
      </c>
      <c r="I540" s="152"/>
      <c r="L540" s="225"/>
    </row>
    <row r="541" spans="1:19" s="60" customFormat="1" ht="27" customHeight="1">
      <c r="A541" s="45">
        <v>156</v>
      </c>
      <c r="B541" s="51" t="s">
        <v>156</v>
      </c>
      <c r="C541" s="46" t="s">
        <v>239</v>
      </c>
      <c r="D541" s="46" t="s">
        <v>431</v>
      </c>
      <c r="E541" s="46" t="s">
        <v>21</v>
      </c>
      <c r="F541" s="50">
        <f>SUM(F543)</f>
        <v>379.61799999999999</v>
      </c>
      <c r="G541" s="4"/>
      <c r="H541" s="47">
        <f>F541*G541</f>
        <v>0</v>
      </c>
      <c r="I541" s="48" t="s">
        <v>192</v>
      </c>
      <c r="J541" s="81"/>
      <c r="L541" s="225"/>
    </row>
    <row r="542" spans="1:19" s="60" customFormat="1" ht="40.5" customHeight="1">
      <c r="A542" s="45"/>
      <c r="B542" s="51"/>
      <c r="C542" s="46"/>
      <c r="D542" s="42" t="s">
        <v>430</v>
      </c>
      <c r="E542" s="46"/>
      <c r="F542" s="50"/>
      <c r="G542" s="47"/>
      <c r="H542" s="47"/>
      <c r="I542" s="48"/>
      <c r="J542" s="81"/>
      <c r="L542" s="225"/>
    </row>
    <row r="543" spans="1:19" s="60" customFormat="1" ht="13.5" customHeight="1">
      <c r="A543" s="111"/>
      <c r="B543" s="112"/>
      <c r="C543" s="112"/>
      <c r="D543" s="42" t="s">
        <v>486</v>
      </c>
      <c r="E543" s="145"/>
      <c r="F543" s="52">
        <f>169.551+210.067</f>
        <v>379.61799999999999</v>
      </c>
      <c r="G543" s="114"/>
      <c r="H543" s="114"/>
      <c r="I543" s="152"/>
      <c r="J543" s="81"/>
      <c r="L543" s="225"/>
    </row>
    <row r="544" spans="1:19" s="60" customFormat="1" ht="13.5" customHeight="1">
      <c r="A544" s="45">
        <v>157</v>
      </c>
      <c r="B544" s="51" t="s">
        <v>156</v>
      </c>
      <c r="C544" s="46" t="s">
        <v>160</v>
      </c>
      <c r="D544" s="46" t="s">
        <v>247</v>
      </c>
      <c r="E544" s="46" t="s">
        <v>21</v>
      </c>
      <c r="F544" s="50">
        <f>SUM(F546:F547)</f>
        <v>122.70699999999999</v>
      </c>
      <c r="G544" s="4"/>
      <c r="H544" s="47">
        <f>F544*G544</f>
        <v>0</v>
      </c>
      <c r="I544" s="48" t="s">
        <v>192</v>
      </c>
      <c r="J544" s="122"/>
      <c r="L544" s="225"/>
    </row>
    <row r="545" spans="1:21" s="60" customFormat="1" ht="13.5" customHeight="1">
      <c r="A545" s="111"/>
      <c r="B545" s="112"/>
      <c r="C545" s="112"/>
      <c r="D545" s="42" t="s">
        <v>372</v>
      </c>
      <c r="E545" s="145"/>
      <c r="F545" s="52"/>
      <c r="G545" s="114"/>
      <c r="H545" s="114"/>
      <c r="I545" s="152"/>
      <c r="L545" s="225"/>
    </row>
    <row r="546" spans="1:21" s="60" customFormat="1" ht="13.5" customHeight="1">
      <c r="A546" s="111"/>
      <c r="B546" s="112"/>
      <c r="C546" s="112"/>
      <c r="D546" s="42" t="s">
        <v>248</v>
      </c>
      <c r="E546" s="145"/>
      <c r="F546" s="52">
        <v>34.478000000000002</v>
      </c>
      <c r="G546" s="114"/>
      <c r="H546" s="114"/>
      <c r="I546" s="152"/>
      <c r="J546" s="270"/>
      <c r="L546" s="225"/>
    </row>
    <row r="547" spans="1:21" s="60" customFormat="1" ht="13.5" customHeight="1">
      <c r="A547" s="111"/>
      <c r="B547" s="112"/>
      <c r="C547" s="112"/>
      <c r="D547" s="42" t="s">
        <v>249</v>
      </c>
      <c r="E547" s="145"/>
      <c r="F547" s="52">
        <v>88.228999999999999</v>
      </c>
      <c r="G547" s="114"/>
      <c r="H547" s="114"/>
      <c r="I547" s="152"/>
      <c r="L547" s="225"/>
    </row>
    <row r="548" spans="1:21" s="60" customFormat="1" ht="27" customHeight="1">
      <c r="A548" s="111"/>
      <c r="B548" s="112"/>
      <c r="C548" s="112"/>
      <c r="D548" s="42" t="s">
        <v>696</v>
      </c>
      <c r="E548" s="145"/>
      <c r="F548" s="52"/>
      <c r="G548" s="114"/>
      <c r="H548" s="114"/>
      <c r="I548" s="152"/>
      <c r="J548" s="81"/>
      <c r="L548" s="225"/>
    </row>
    <row r="549" spans="1:21" s="60" customFormat="1" ht="13.5" customHeight="1">
      <c r="A549" s="45">
        <v>158</v>
      </c>
      <c r="B549" s="51" t="s">
        <v>156</v>
      </c>
      <c r="C549" s="46">
        <v>998767202</v>
      </c>
      <c r="D549" s="46" t="s">
        <v>159</v>
      </c>
      <c r="E549" s="46" t="s">
        <v>47</v>
      </c>
      <c r="F549" s="50">
        <v>1.79</v>
      </c>
      <c r="G549" s="11"/>
      <c r="H549" s="47">
        <f>F549*G549</f>
        <v>0</v>
      </c>
      <c r="I549" s="48" t="s">
        <v>183</v>
      </c>
      <c r="J549" s="228"/>
      <c r="K549" s="136"/>
      <c r="L549" s="136"/>
    </row>
    <row r="550" spans="1:21" s="61" customFormat="1" ht="13.5" customHeight="1">
      <c r="A550" s="45">
        <v>159</v>
      </c>
      <c r="B550" s="46" t="s">
        <v>138</v>
      </c>
      <c r="C550" s="46" t="s">
        <v>157</v>
      </c>
      <c r="D550" s="46" t="s">
        <v>158</v>
      </c>
      <c r="E550" s="46" t="s">
        <v>28</v>
      </c>
      <c r="F550" s="50">
        <f>F551</f>
        <v>40</v>
      </c>
      <c r="G550" s="11"/>
      <c r="H550" s="47">
        <f>F550*G550</f>
        <v>0</v>
      </c>
      <c r="I550" s="48" t="s">
        <v>183</v>
      </c>
      <c r="J550" s="60"/>
      <c r="K550" s="60"/>
      <c r="L550" s="60"/>
      <c r="M550" s="60"/>
      <c r="N550" s="60"/>
      <c r="O550" s="60"/>
      <c r="P550" s="60"/>
      <c r="Q550" s="60"/>
      <c r="R550" s="60"/>
      <c r="S550" s="60"/>
    </row>
    <row r="551" spans="1:21" s="61" customFormat="1" ht="13.5" customHeight="1">
      <c r="A551" s="144"/>
      <c r="B551" s="145"/>
      <c r="C551" s="145"/>
      <c r="D551" s="42" t="s">
        <v>240</v>
      </c>
      <c r="E551" s="145"/>
      <c r="F551" s="52">
        <v>40</v>
      </c>
      <c r="G551" s="147"/>
      <c r="H551" s="47"/>
      <c r="I551" s="186"/>
      <c r="J551" s="60"/>
      <c r="K551" s="60"/>
      <c r="L551" s="60"/>
      <c r="M551" s="60"/>
      <c r="N551" s="60"/>
      <c r="O551" s="60"/>
      <c r="P551" s="60"/>
      <c r="Q551" s="60"/>
      <c r="R551" s="60"/>
      <c r="S551" s="60"/>
    </row>
    <row r="552" spans="1:21" s="61" customFormat="1" ht="13.5" customHeight="1">
      <c r="A552" s="144"/>
      <c r="B552" s="145"/>
      <c r="C552" s="145"/>
      <c r="D552" s="42" t="s">
        <v>50</v>
      </c>
      <c r="E552" s="145"/>
      <c r="F552" s="52"/>
      <c r="G552" s="147"/>
      <c r="H552" s="47"/>
      <c r="I552" s="186"/>
      <c r="J552" s="60"/>
      <c r="K552" s="60"/>
      <c r="L552" s="60"/>
      <c r="M552" s="60"/>
      <c r="N552" s="60"/>
      <c r="O552" s="60"/>
      <c r="P552" s="60"/>
      <c r="Q552" s="60"/>
      <c r="R552" s="60"/>
      <c r="S552" s="60"/>
    </row>
    <row r="553" spans="1:21" s="60" customFormat="1" ht="13.5" customHeight="1">
      <c r="A553" s="111"/>
      <c r="B553" s="112"/>
      <c r="C553" s="112">
        <v>771</v>
      </c>
      <c r="D553" s="112" t="s">
        <v>80</v>
      </c>
      <c r="E553" s="112"/>
      <c r="F553" s="113"/>
      <c r="G553" s="114"/>
      <c r="H553" s="114">
        <f>SUM(H554,H563,H572:H579)</f>
        <v>0</v>
      </c>
      <c r="I553" s="152"/>
      <c r="L553" s="225"/>
    </row>
    <row r="554" spans="1:21" s="61" customFormat="1" ht="27" customHeight="1">
      <c r="A554" s="45">
        <v>160</v>
      </c>
      <c r="B554" s="46">
        <v>771</v>
      </c>
      <c r="C554" s="46" t="s">
        <v>133</v>
      </c>
      <c r="D554" s="46" t="s">
        <v>361</v>
      </c>
      <c r="E554" s="46" t="s">
        <v>21</v>
      </c>
      <c r="F554" s="50">
        <f>F562</f>
        <v>338.54</v>
      </c>
      <c r="G554" s="183">
        <f>SUM(H556:H558)/F554</f>
        <v>0</v>
      </c>
      <c r="H554" s="47">
        <f>F554*G554</f>
        <v>0</v>
      </c>
      <c r="I554" s="48" t="s">
        <v>192</v>
      </c>
      <c r="J554" s="60"/>
      <c r="K554" s="184"/>
      <c r="L554" s="184"/>
      <c r="M554" s="60"/>
      <c r="N554" s="60"/>
      <c r="O554" s="60"/>
      <c r="P554" s="60"/>
      <c r="Q554" s="60"/>
      <c r="R554" s="60"/>
      <c r="S554" s="60"/>
    </row>
    <row r="555" spans="1:21" s="61" customFormat="1" ht="13.5" customHeight="1">
      <c r="A555" s="144"/>
      <c r="B555" s="145"/>
      <c r="C555" s="145"/>
      <c r="D555" s="42" t="s">
        <v>79</v>
      </c>
      <c r="E555" s="145"/>
      <c r="F555" s="52"/>
      <c r="G555" s="147"/>
      <c r="H555" s="47"/>
      <c r="I555" s="186"/>
      <c r="J555" s="60"/>
      <c r="K555" s="60"/>
      <c r="L555" s="60"/>
      <c r="M555" s="60"/>
      <c r="N555" s="60"/>
      <c r="O555" s="60"/>
      <c r="P555" s="60"/>
      <c r="Q555" s="60"/>
      <c r="R555" s="60"/>
      <c r="S555" s="60"/>
    </row>
    <row r="556" spans="1:21" s="61" customFormat="1" ht="13.5" customHeight="1">
      <c r="A556" s="196" t="s">
        <v>731</v>
      </c>
      <c r="B556" s="145"/>
      <c r="C556" s="145"/>
      <c r="D556" s="42" t="s">
        <v>643</v>
      </c>
      <c r="E556" s="83" t="s">
        <v>21</v>
      </c>
      <c r="F556" s="52">
        <v>372.4</v>
      </c>
      <c r="G556" s="10"/>
      <c r="H556" s="52">
        <f>F556*G556</f>
        <v>0</v>
      </c>
      <c r="I556" s="186"/>
      <c r="J556" s="97"/>
      <c r="K556" s="60"/>
      <c r="L556" s="97"/>
      <c r="M556" s="60"/>
      <c r="N556" s="60"/>
      <c r="O556" s="60"/>
      <c r="P556" s="60"/>
      <c r="Q556" s="60"/>
      <c r="R556" s="60"/>
      <c r="S556" s="60"/>
      <c r="U556" s="253"/>
    </row>
    <row r="557" spans="1:21" s="61" customFormat="1" ht="13.5" customHeight="1">
      <c r="A557" s="196" t="s">
        <v>732</v>
      </c>
      <c r="B557" s="145"/>
      <c r="C557" s="145"/>
      <c r="D557" s="42" t="s">
        <v>644</v>
      </c>
      <c r="E557" s="83" t="s">
        <v>21</v>
      </c>
      <c r="F557" s="52">
        <v>372.4</v>
      </c>
      <c r="G557" s="40"/>
      <c r="H557" s="52">
        <f>F557*G557</f>
        <v>0</v>
      </c>
      <c r="I557" s="186"/>
      <c r="J557" s="272"/>
      <c r="K557" s="60"/>
      <c r="L557" s="97"/>
      <c r="M557" s="60"/>
      <c r="N557" s="60"/>
      <c r="O557" s="60"/>
      <c r="P557" s="60"/>
      <c r="Q557" s="60"/>
      <c r="R557" s="60"/>
      <c r="S557" s="60"/>
      <c r="U557" s="153"/>
    </row>
    <row r="558" spans="1:21" s="61" customFormat="1" ht="13.5" customHeight="1">
      <c r="A558" s="196" t="s">
        <v>733</v>
      </c>
      <c r="B558" s="145"/>
      <c r="C558" s="145"/>
      <c r="D558" s="42" t="s">
        <v>646</v>
      </c>
      <c r="E558" s="83" t="s">
        <v>21</v>
      </c>
      <c r="F558" s="52">
        <v>389.32</v>
      </c>
      <c r="G558" s="40"/>
      <c r="H558" s="52">
        <f>F558*G558</f>
        <v>0</v>
      </c>
      <c r="I558" s="186"/>
      <c r="J558" s="97"/>
      <c r="K558" s="60"/>
      <c r="L558" s="97"/>
      <c r="M558" s="60"/>
      <c r="N558" s="60"/>
      <c r="O558" s="60"/>
      <c r="P558" s="60"/>
      <c r="Q558" s="60"/>
      <c r="R558" s="60"/>
      <c r="S558" s="60"/>
      <c r="U558" s="253"/>
    </row>
    <row r="559" spans="1:21" s="61" customFormat="1" ht="13.5" customHeight="1">
      <c r="A559" s="196" t="s">
        <v>734</v>
      </c>
      <c r="B559" s="145"/>
      <c r="C559" s="145"/>
      <c r="D559" s="42" t="s">
        <v>645</v>
      </c>
      <c r="E559" s="83" t="s">
        <v>21</v>
      </c>
      <c r="F559" s="52">
        <v>372.4</v>
      </c>
      <c r="G559" s="40"/>
      <c r="H559" s="52">
        <f>F559*G559</f>
        <v>0</v>
      </c>
      <c r="J559" s="97"/>
      <c r="K559" s="60"/>
      <c r="L559" s="97"/>
      <c r="M559" s="60"/>
      <c r="N559" s="60"/>
      <c r="O559" s="60"/>
      <c r="P559" s="60"/>
      <c r="Q559" s="60"/>
      <c r="R559" s="60"/>
      <c r="S559" s="60"/>
      <c r="U559" s="253"/>
    </row>
    <row r="560" spans="1:21" s="275" customFormat="1" ht="39" customHeight="1">
      <c r="A560" s="140"/>
      <c r="B560" s="273"/>
      <c r="C560" s="42"/>
      <c r="D560" s="42" t="s">
        <v>171</v>
      </c>
      <c r="E560" s="83"/>
      <c r="F560" s="52"/>
      <c r="G560" s="141"/>
      <c r="H560" s="141"/>
      <c r="I560" s="274"/>
      <c r="J560" s="97"/>
      <c r="K560" s="249"/>
      <c r="L560" s="248"/>
      <c r="M560" s="249"/>
      <c r="N560" s="249"/>
      <c r="O560" s="249"/>
      <c r="P560" s="249"/>
      <c r="Q560" s="249"/>
      <c r="R560" s="249"/>
      <c r="S560" s="249"/>
      <c r="T560" s="250"/>
      <c r="U560" s="255"/>
    </row>
    <row r="561" spans="1:21" s="153" customFormat="1" ht="14.25" customHeight="1">
      <c r="A561" s="144"/>
      <c r="B561" s="194"/>
      <c r="C561" s="145"/>
      <c r="D561" s="42" t="s">
        <v>82</v>
      </c>
      <c r="E561" s="145"/>
      <c r="F561" s="146"/>
      <c r="G561" s="147"/>
      <c r="H561" s="47"/>
      <c r="I561" s="53"/>
      <c r="J561" s="84"/>
      <c r="K561" s="84"/>
      <c r="L561" s="84"/>
      <c r="M561" s="84"/>
      <c r="N561" s="84"/>
      <c r="O561" s="84"/>
      <c r="P561" s="84"/>
      <c r="Q561" s="84"/>
      <c r="R561" s="84"/>
      <c r="S561" s="84"/>
    </row>
    <row r="562" spans="1:21" s="61" customFormat="1" ht="13.5" customHeight="1">
      <c r="A562" s="144"/>
      <c r="B562" s="145"/>
      <c r="C562" s="145"/>
      <c r="D562" s="42" t="s">
        <v>642</v>
      </c>
      <c r="E562" s="145"/>
      <c r="F562" s="52">
        <f>179.5+8.4+75.32+75.32</f>
        <v>338.54</v>
      </c>
      <c r="G562" s="147"/>
      <c r="H562" s="47"/>
      <c r="I562" s="186"/>
      <c r="J562" s="60"/>
      <c r="K562" s="60"/>
      <c r="L562" s="60"/>
      <c r="M562" s="60"/>
      <c r="N562" s="60"/>
      <c r="O562" s="60"/>
      <c r="P562" s="60"/>
      <c r="Q562" s="60"/>
      <c r="R562" s="60"/>
      <c r="S562" s="60"/>
    </row>
    <row r="563" spans="1:21" s="61" customFormat="1" ht="27" customHeight="1">
      <c r="A563" s="45">
        <v>161</v>
      </c>
      <c r="B563" s="46">
        <v>771</v>
      </c>
      <c r="C563" s="46" t="s">
        <v>134</v>
      </c>
      <c r="D563" s="46" t="s">
        <v>362</v>
      </c>
      <c r="E563" s="46" t="s">
        <v>21</v>
      </c>
      <c r="F563" s="50">
        <f>F571</f>
        <v>365.54999999999995</v>
      </c>
      <c r="G563" s="183">
        <f>SUM(H565:H567)/F563</f>
        <v>0</v>
      </c>
      <c r="H563" s="47">
        <f>F563*G563</f>
        <v>0</v>
      </c>
      <c r="I563" s="48" t="s">
        <v>192</v>
      </c>
      <c r="J563" s="60"/>
      <c r="K563" s="184"/>
      <c r="L563" s="184"/>
      <c r="M563" s="60"/>
      <c r="N563" s="60"/>
      <c r="O563" s="60"/>
      <c r="P563" s="60"/>
      <c r="Q563" s="60"/>
      <c r="R563" s="60"/>
      <c r="S563" s="60"/>
    </row>
    <row r="564" spans="1:21" s="61" customFormat="1" ht="13.5" customHeight="1">
      <c r="A564" s="144"/>
      <c r="B564" s="145"/>
      <c r="C564" s="145"/>
      <c r="D564" s="42" t="s">
        <v>79</v>
      </c>
      <c r="E564" s="145"/>
      <c r="F564" s="52"/>
      <c r="G564" s="147"/>
      <c r="H564" s="47"/>
      <c r="I564" s="186"/>
      <c r="J564" s="60"/>
      <c r="K564" s="60"/>
      <c r="L564" s="60"/>
      <c r="M564" s="60"/>
      <c r="N564" s="60"/>
      <c r="O564" s="60"/>
      <c r="P564" s="60"/>
      <c r="Q564" s="60"/>
      <c r="R564" s="60"/>
      <c r="S564" s="60"/>
    </row>
    <row r="565" spans="1:21" s="61" customFormat="1" ht="13.5" customHeight="1">
      <c r="A565" s="196" t="s">
        <v>762</v>
      </c>
      <c r="B565" s="145"/>
      <c r="C565" s="145"/>
      <c r="D565" s="42" t="s">
        <v>652</v>
      </c>
      <c r="E565" s="83" t="s">
        <v>21</v>
      </c>
      <c r="F565" s="52">
        <v>402.11</v>
      </c>
      <c r="G565" s="40"/>
      <c r="H565" s="52">
        <f>F565*G565</f>
        <v>0</v>
      </c>
      <c r="I565" s="186"/>
      <c r="J565" s="97"/>
      <c r="K565" s="60"/>
      <c r="L565" s="97"/>
      <c r="M565" s="60"/>
      <c r="N565" s="60"/>
      <c r="O565" s="60"/>
      <c r="P565" s="60"/>
      <c r="Q565" s="60"/>
      <c r="R565" s="60"/>
      <c r="S565" s="60"/>
      <c r="U565" s="253"/>
    </row>
    <row r="566" spans="1:21" s="61" customFormat="1" ht="13.5" customHeight="1">
      <c r="A566" s="196" t="s">
        <v>763</v>
      </c>
      <c r="B566" s="145"/>
      <c r="C566" s="145"/>
      <c r="D566" s="42" t="s">
        <v>653</v>
      </c>
      <c r="E566" s="83" t="s">
        <v>21</v>
      </c>
      <c r="F566" s="52">
        <v>402.11</v>
      </c>
      <c r="G566" s="40"/>
      <c r="H566" s="52">
        <f>F566*G566</f>
        <v>0</v>
      </c>
      <c r="I566" s="186"/>
      <c r="J566" s="97"/>
      <c r="K566" s="60"/>
      <c r="L566" s="97"/>
      <c r="M566" s="60"/>
      <c r="N566" s="60"/>
      <c r="O566" s="60"/>
      <c r="P566" s="60"/>
      <c r="Q566" s="60"/>
      <c r="R566" s="60"/>
      <c r="S566" s="60"/>
      <c r="U566" s="153"/>
    </row>
    <row r="567" spans="1:21" s="61" customFormat="1" ht="13.5" customHeight="1">
      <c r="A567" s="196" t="s">
        <v>764</v>
      </c>
      <c r="B567" s="145"/>
      <c r="C567" s="145"/>
      <c r="D567" s="42" t="s">
        <v>655</v>
      </c>
      <c r="E567" s="83" t="s">
        <v>21</v>
      </c>
      <c r="F567" s="52">
        <v>420.39</v>
      </c>
      <c r="G567" s="40"/>
      <c r="H567" s="52">
        <f>F567*G567</f>
        <v>0</v>
      </c>
      <c r="I567" s="186"/>
      <c r="J567" s="97"/>
      <c r="K567" s="60"/>
      <c r="L567" s="97"/>
      <c r="M567" s="60"/>
      <c r="N567" s="60"/>
      <c r="O567" s="60"/>
      <c r="P567" s="60"/>
      <c r="Q567" s="60"/>
      <c r="R567" s="60"/>
      <c r="S567" s="60"/>
      <c r="U567" s="253"/>
    </row>
    <row r="568" spans="1:21" s="61" customFormat="1" ht="27" customHeight="1">
      <c r="A568" s="196" t="s">
        <v>765</v>
      </c>
      <c r="B568" s="145"/>
      <c r="C568" s="145"/>
      <c r="D568" s="42" t="s">
        <v>654</v>
      </c>
      <c r="E568" s="83" t="s">
        <v>21</v>
      </c>
      <c r="F568" s="52">
        <v>402.11</v>
      </c>
      <c r="G568" s="40"/>
      <c r="H568" s="52">
        <f>F568*G568</f>
        <v>0</v>
      </c>
      <c r="I568" s="186"/>
      <c r="J568" s="97"/>
      <c r="K568" s="60"/>
      <c r="L568" s="97"/>
      <c r="M568" s="60"/>
      <c r="N568" s="60"/>
      <c r="O568" s="60"/>
      <c r="P568" s="60"/>
      <c r="Q568" s="60"/>
      <c r="R568" s="60"/>
      <c r="S568" s="60"/>
      <c r="U568" s="253"/>
    </row>
    <row r="569" spans="1:21" s="275" customFormat="1" ht="39" customHeight="1">
      <c r="A569" s="140"/>
      <c r="B569" s="273"/>
      <c r="C569" s="42"/>
      <c r="D569" s="42" t="s">
        <v>171</v>
      </c>
      <c r="E569" s="83"/>
      <c r="F569" s="52"/>
      <c r="G569" s="141"/>
      <c r="H569" s="141"/>
      <c r="I569" s="274"/>
      <c r="J569" s="249"/>
      <c r="K569" s="249"/>
      <c r="L569" s="248"/>
      <c r="M569" s="249"/>
      <c r="N569" s="249"/>
      <c r="O569" s="249"/>
      <c r="P569" s="249"/>
      <c r="Q569" s="249"/>
      <c r="R569" s="249"/>
      <c r="S569" s="249"/>
      <c r="T569" s="250"/>
      <c r="U569" s="255"/>
    </row>
    <row r="570" spans="1:21" s="153" customFormat="1" ht="14.25" customHeight="1">
      <c r="A570" s="144"/>
      <c r="B570" s="194"/>
      <c r="C570" s="145"/>
      <c r="D570" s="42" t="s">
        <v>82</v>
      </c>
      <c r="E570" s="145"/>
      <c r="F570" s="146"/>
      <c r="G570" s="147"/>
      <c r="H570" s="47"/>
      <c r="I570" s="53"/>
      <c r="J570" s="84"/>
      <c r="K570" s="84"/>
      <c r="L570" s="84"/>
      <c r="M570" s="84"/>
      <c r="N570" s="84"/>
      <c r="O570" s="84"/>
      <c r="P570" s="84"/>
      <c r="Q570" s="84"/>
      <c r="R570" s="84"/>
      <c r="S570" s="84"/>
    </row>
    <row r="571" spans="1:21" s="61" customFormat="1" ht="27" customHeight="1">
      <c r="A571" s="144"/>
      <c r="B571" s="145"/>
      <c r="C571" s="145"/>
      <c r="D571" s="42" t="s">
        <v>651</v>
      </c>
      <c r="E571" s="145"/>
      <c r="F571" s="52">
        <f>(218.03+14.44+71.24+29.46)+(13.37+19.01)</f>
        <v>365.54999999999995</v>
      </c>
      <c r="G571" s="147"/>
      <c r="H571" s="47"/>
      <c r="I571" s="186"/>
      <c r="J571" s="60"/>
      <c r="K571" s="60"/>
      <c r="L571" s="60"/>
      <c r="M571" s="60"/>
      <c r="N571" s="60"/>
      <c r="O571" s="60"/>
      <c r="P571" s="60"/>
      <c r="Q571" s="60"/>
      <c r="R571" s="60"/>
      <c r="S571" s="60"/>
    </row>
    <row r="572" spans="1:21" s="61" customFormat="1" ht="13.5" customHeight="1">
      <c r="A572" s="45">
        <v>162</v>
      </c>
      <c r="B572" s="46">
        <v>771</v>
      </c>
      <c r="C572" s="46" t="s">
        <v>81</v>
      </c>
      <c r="D572" s="46" t="s">
        <v>83</v>
      </c>
      <c r="E572" s="46" t="s">
        <v>21</v>
      </c>
      <c r="F572" s="50">
        <f>F573</f>
        <v>704.09</v>
      </c>
      <c r="G572" s="11"/>
      <c r="H572" s="47">
        <f>F572*G572</f>
        <v>0</v>
      </c>
      <c r="I572" s="48" t="s">
        <v>192</v>
      </c>
      <c r="J572" s="60"/>
      <c r="K572" s="60"/>
      <c r="L572" s="60"/>
      <c r="M572" s="60"/>
      <c r="N572" s="60"/>
      <c r="O572" s="60"/>
      <c r="P572" s="60"/>
      <c r="Q572" s="60"/>
      <c r="R572" s="60"/>
      <c r="S572" s="60"/>
    </row>
    <row r="573" spans="1:21" s="84" customFormat="1" ht="13.5" customHeight="1">
      <c r="A573" s="45"/>
      <c r="B573" s="51"/>
      <c r="C573" s="46"/>
      <c r="D573" s="42" t="s">
        <v>663</v>
      </c>
      <c r="E573" s="46"/>
      <c r="F573" s="52">
        <f>338.54+365.55</f>
        <v>704.09</v>
      </c>
      <c r="G573" s="47"/>
      <c r="H573" s="47"/>
      <c r="I573" s="48"/>
    </row>
    <row r="574" spans="1:21" s="61" customFormat="1" ht="13.5" customHeight="1">
      <c r="A574" s="45">
        <v>163</v>
      </c>
      <c r="B574" s="46">
        <v>771</v>
      </c>
      <c r="C574" s="46">
        <v>771579196</v>
      </c>
      <c r="D574" s="46" t="s">
        <v>84</v>
      </c>
      <c r="E574" s="46" t="s">
        <v>21</v>
      </c>
      <c r="F574" s="50">
        <f>F554+F563</f>
        <v>704.08999999999992</v>
      </c>
      <c r="G574" s="11"/>
      <c r="H574" s="47">
        <f>F574*G574</f>
        <v>0</v>
      </c>
      <c r="I574" s="48" t="s">
        <v>183</v>
      </c>
      <c r="J574" s="60"/>
      <c r="K574" s="60"/>
      <c r="L574" s="60"/>
      <c r="M574" s="60"/>
      <c r="N574" s="60"/>
      <c r="O574" s="60"/>
      <c r="P574" s="60"/>
      <c r="Q574" s="60"/>
      <c r="R574" s="60"/>
      <c r="S574" s="60"/>
    </row>
    <row r="575" spans="1:21" s="61" customFormat="1" ht="13.5" customHeight="1">
      <c r="A575" s="45">
        <v>164</v>
      </c>
      <c r="B575" s="46">
        <v>771</v>
      </c>
      <c r="C575" s="46">
        <v>771591111</v>
      </c>
      <c r="D575" s="46" t="s">
        <v>85</v>
      </c>
      <c r="E575" s="46" t="s">
        <v>21</v>
      </c>
      <c r="F575" s="50">
        <f>F574</f>
        <v>704.08999999999992</v>
      </c>
      <c r="G575" s="11"/>
      <c r="H575" s="47">
        <f>F575*G575</f>
        <v>0</v>
      </c>
      <c r="I575" s="48" t="s">
        <v>183</v>
      </c>
      <c r="J575" s="60"/>
      <c r="K575" s="60"/>
      <c r="L575" s="60"/>
      <c r="M575" s="60"/>
      <c r="N575" s="60"/>
      <c r="O575" s="60"/>
      <c r="P575" s="60"/>
      <c r="Q575" s="60"/>
      <c r="R575" s="60"/>
      <c r="S575" s="60"/>
    </row>
    <row r="576" spans="1:21" s="61" customFormat="1" ht="13.5" customHeight="1">
      <c r="A576" s="45">
        <v>165</v>
      </c>
      <c r="B576" s="46">
        <v>771</v>
      </c>
      <c r="C576" s="46">
        <v>998771202</v>
      </c>
      <c r="D576" s="46" t="s">
        <v>86</v>
      </c>
      <c r="E576" s="46" t="s">
        <v>47</v>
      </c>
      <c r="F576" s="50">
        <v>6.58</v>
      </c>
      <c r="G576" s="11"/>
      <c r="H576" s="47">
        <f>F576*G576</f>
        <v>0</v>
      </c>
      <c r="I576" s="48" t="s">
        <v>183</v>
      </c>
      <c r="J576" s="122"/>
      <c r="K576" s="84"/>
      <c r="L576" s="60"/>
      <c r="M576" s="60"/>
      <c r="N576" s="60"/>
      <c r="O576" s="60"/>
      <c r="P576" s="60"/>
      <c r="Q576" s="60"/>
      <c r="R576" s="60"/>
      <c r="S576" s="60"/>
    </row>
    <row r="577" spans="1:19" s="153" customFormat="1" ht="13.5" customHeight="1">
      <c r="A577" s="45">
        <v>166</v>
      </c>
      <c r="B577" s="46" t="s">
        <v>138</v>
      </c>
      <c r="C577" s="46" t="s">
        <v>76</v>
      </c>
      <c r="D577" s="46" t="s">
        <v>77</v>
      </c>
      <c r="E577" s="46" t="s">
        <v>28</v>
      </c>
      <c r="F577" s="50">
        <f>F578</f>
        <v>15</v>
      </c>
      <c r="G577" s="11"/>
      <c r="H577" s="47">
        <f>F577*G577</f>
        <v>0</v>
      </c>
      <c r="I577" s="48" t="s">
        <v>183</v>
      </c>
      <c r="J577" s="84"/>
      <c r="K577" s="84"/>
      <c r="L577" s="84"/>
      <c r="M577" s="84"/>
      <c r="N577" s="84"/>
      <c r="O577" s="84"/>
      <c r="P577" s="84"/>
      <c r="Q577" s="84"/>
      <c r="R577" s="84"/>
      <c r="S577" s="84"/>
    </row>
    <row r="578" spans="1:19" s="61" customFormat="1" ht="13.5" customHeight="1">
      <c r="A578" s="144"/>
      <c r="B578" s="145"/>
      <c r="C578" s="145"/>
      <c r="D578" s="42" t="s">
        <v>205</v>
      </c>
      <c r="E578" s="145"/>
      <c r="F578" s="52">
        <v>15</v>
      </c>
      <c r="G578" s="147"/>
      <c r="H578" s="47"/>
      <c r="I578" s="276"/>
      <c r="J578" s="60"/>
      <c r="K578" s="60"/>
      <c r="L578" s="60"/>
      <c r="M578" s="60"/>
      <c r="N578" s="60"/>
      <c r="O578" s="60"/>
      <c r="P578" s="60"/>
      <c r="Q578" s="60"/>
      <c r="R578" s="60"/>
      <c r="S578" s="60"/>
    </row>
    <row r="579" spans="1:19" s="61" customFormat="1" ht="24" customHeight="1">
      <c r="A579" s="144"/>
      <c r="B579" s="145"/>
      <c r="C579" s="145"/>
      <c r="D579" s="42" t="s">
        <v>283</v>
      </c>
      <c r="E579" s="145"/>
      <c r="F579" s="52"/>
      <c r="G579" s="147"/>
      <c r="H579" s="47"/>
      <c r="I579" s="186"/>
      <c r="J579" s="60"/>
      <c r="K579" s="60"/>
      <c r="L579" s="60"/>
      <c r="M579" s="60"/>
      <c r="N579" s="60"/>
      <c r="O579" s="60"/>
      <c r="P579" s="60"/>
      <c r="Q579" s="60"/>
      <c r="R579" s="60"/>
      <c r="S579" s="60"/>
    </row>
    <row r="580" spans="1:19" s="136" customFormat="1" ht="13.5" customHeight="1">
      <c r="A580" s="111"/>
      <c r="B580" s="112"/>
      <c r="C580" s="112">
        <v>784</v>
      </c>
      <c r="D580" s="112" t="s">
        <v>253</v>
      </c>
      <c r="E580" s="112"/>
      <c r="F580" s="113"/>
      <c r="G580" s="114"/>
      <c r="H580" s="114">
        <f>SUM(H581:H590)</f>
        <v>0</v>
      </c>
      <c r="I580" s="48"/>
    </row>
    <row r="581" spans="1:19" s="136" customFormat="1" ht="13.5" customHeight="1">
      <c r="A581" s="45">
        <v>167</v>
      </c>
      <c r="B581" s="46">
        <v>783</v>
      </c>
      <c r="C581" s="46">
        <v>784181101</v>
      </c>
      <c r="D581" s="46" t="s">
        <v>255</v>
      </c>
      <c r="E581" s="46" t="s">
        <v>21</v>
      </c>
      <c r="F581" s="50">
        <f>F582</f>
        <v>1140.3800000000001</v>
      </c>
      <c r="G581" s="11"/>
      <c r="H581" s="47">
        <f>F581*G581</f>
        <v>0</v>
      </c>
      <c r="I581" s="48" t="s">
        <v>183</v>
      </c>
    </row>
    <row r="582" spans="1:19" s="136" customFormat="1" ht="27" customHeight="1">
      <c r="A582" s="45">
        <v>168</v>
      </c>
      <c r="B582" s="46">
        <v>783</v>
      </c>
      <c r="C582" s="46" t="s">
        <v>254</v>
      </c>
      <c r="D582" s="46" t="s">
        <v>668</v>
      </c>
      <c r="E582" s="46" t="s">
        <v>21</v>
      </c>
      <c r="F582" s="50">
        <f>SUM(F583:F587)</f>
        <v>1140.3800000000001</v>
      </c>
      <c r="G582" s="11"/>
      <c r="H582" s="47">
        <f>F582*G582</f>
        <v>0</v>
      </c>
      <c r="I582" s="48" t="s">
        <v>259</v>
      </c>
    </row>
    <row r="583" spans="1:19" s="136" customFormat="1" ht="13.5" customHeight="1">
      <c r="A583" s="111"/>
      <c r="B583" s="112"/>
      <c r="C583" s="112"/>
      <c r="D583" s="83" t="s">
        <v>650</v>
      </c>
      <c r="E583" s="112"/>
      <c r="F583" s="52">
        <f>751.6</f>
        <v>751.6</v>
      </c>
      <c r="G583" s="114"/>
      <c r="H583" s="114"/>
      <c r="I583" s="48"/>
    </row>
    <row r="584" spans="1:19" s="136" customFormat="1" ht="13.5" customHeight="1">
      <c r="A584" s="111"/>
      <c r="B584" s="112"/>
      <c r="C584" s="112"/>
      <c r="D584" s="83" t="s">
        <v>541</v>
      </c>
      <c r="E584" s="112"/>
      <c r="F584" s="52">
        <f>11.74+137.05</f>
        <v>148.79000000000002</v>
      </c>
      <c r="G584" s="114"/>
      <c r="H584" s="114"/>
      <c r="I584" s="48"/>
    </row>
    <row r="585" spans="1:19" s="136" customFormat="1" ht="13.5" customHeight="1">
      <c r="A585" s="111"/>
      <c r="B585" s="112"/>
      <c r="C585" s="112"/>
      <c r="D585" s="83" t="s">
        <v>540</v>
      </c>
      <c r="E585" s="112"/>
      <c r="F585" s="52">
        <f>15.28</f>
        <v>15.28</v>
      </c>
      <c r="G585" s="114"/>
      <c r="H585" s="114"/>
      <c r="I585" s="48"/>
    </row>
    <row r="586" spans="1:19" s="136" customFormat="1" ht="13.5" customHeight="1">
      <c r="A586" s="111"/>
      <c r="B586" s="112"/>
      <c r="C586" s="112"/>
      <c r="D586" s="83" t="s">
        <v>670</v>
      </c>
      <c r="E586" s="112"/>
      <c r="F586" s="52">
        <f>44.28</f>
        <v>44.28</v>
      </c>
      <c r="G586" s="114"/>
      <c r="H586" s="114"/>
      <c r="I586" s="48"/>
    </row>
    <row r="587" spans="1:19" s="136" customFormat="1" ht="13.5" customHeight="1">
      <c r="A587" s="111"/>
      <c r="B587" s="112"/>
      <c r="C587" s="112"/>
      <c r="D587" s="83" t="s">
        <v>675</v>
      </c>
      <c r="E587" s="112"/>
      <c r="F587" s="52">
        <v>180.43</v>
      </c>
      <c r="G587" s="114"/>
      <c r="H587" s="114"/>
      <c r="I587" s="48"/>
    </row>
    <row r="588" spans="1:19" s="153" customFormat="1" ht="13.5" customHeight="1">
      <c r="A588" s="45">
        <v>169</v>
      </c>
      <c r="B588" s="51" t="s">
        <v>138</v>
      </c>
      <c r="C588" s="46" t="s">
        <v>94</v>
      </c>
      <c r="D588" s="46" t="s">
        <v>95</v>
      </c>
      <c r="E588" s="46" t="s">
        <v>28</v>
      </c>
      <c r="F588" s="50">
        <f>F589</f>
        <v>20</v>
      </c>
      <c r="G588" s="11"/>
      <c r="H588" s="47">
        <f>F588*G588</f>
        <v>0</v>
      </c>
      <c r="I588" s="48" t="s">
        <v>183</v>
      </c>
      <c r="J588" s="136"/>
      <c r="K588" s="136"/>
      <c r="L588" s="84"/>
      <c r="M588" s="84"/>
      <c r="N588" s="84"/>
      <c r="O588" s="84"/>
      <c r="P588" s="84"/>
      <c r="Q588" s="84"/>
      <c r="R588" s="84"/>
      <c r="S588" s="84"/>
    </row>
    <row r="589" spans="1:19" s="61" customFormat="1" ht="13.5" customHeight="1">
      <c r="A589" s="144"/>
      <c r="B589" s="145"/>
      <c r="C589" s="145"/>
      <c r="D589" s="42" t="s">
        <v>256</v>
      </c>
      <c r="E589" s="145"/>
      <c r="F589" s="52">
        <v>20</v>
      </c>
      <c r="G589" s="147"/>
      <c r="H589" s="47"/>
      <c r="I589" s="186"/>
      <c r="J589" s="60"/>
      <c r="K589" s="60"/>
      <c r="L589" s="60"/>
      <c r="M589" s="60"/>
      <c r="N589" s="60"/>
      <c r="O589" s="60"/>
      <c r="P589" s="60"/>
      <c r="Q589" s="60"/>
      <c r="R589" s="60"/>
      <c r="S589" s="60"/>
    </row>
    <row r="590" spans="1:19" s="61" customFormat="1" ht="24.75" customHeight="1">
      <c r="A590" s="144"/>
      <c r="B590" s="145"/>
      <c r="C590" s="145"/>
      <c r="D590" s="42" t="s">
        <v>78</v>
      </c>
      <c r="E590" s="145"/>
      <c r="F590" s="52"/>
      <c r="G590" s="147"/>
      <c r="H590" s="47"/>
      <c r="I590" s="186"/>
      <c r="J590" s="60"/>
      <c r="K590" s="60"/>
      <c r="L590" s="60"/>
      <c r="M590" s="60"/>
      <c r="N590" s="60"/>
      <c r="O590" s="60"/>
      <c r="P590" s="60"/>
      <c r="Q590" s="60"/>
      <c r="R590" s="60"/>
      <c r="S590" s="60"/>
    </row>
    <row r="591" spans="1:19" s="136" customFormat="1" ht="13.5" customHeight="1">
      <c r="A591" s="144"/>
      <c r="B591" s="145"/>
      <c r="C591" s="112">
        <v>787</v>
      </c>
      <c r="D591" s="112" t="s">
        <v>246</v>
      </c>
      <c r="E591" s="112"/>
      <c r="F591" s="113"/>
      <c r="G591" s="114"/>
      <c r="H591" s="114">
        <f>SUM(H592:H600)</f>
        <v>0</v>
      </c>
      <c r="I591" s="277"/>
      <c r="J591" s="278"/>
      <c r="K591" s="278"/>
      <c r="L591" s="278"/>
      <c r="M591" s="278"/>
      <c r="N591" s="278"/>
      <c r="O591" s="278"/>
      <c r="P591" s="278"/>
      <c r="Q591" s="278"/>
    </row>
    <row r="592" spans="1:19" s="136" customFormat="1" ht="13.5" customHeight="1">
      <c r="A592" s="45">
        <v>170</v>
      </c>
      <c r="B592" s="46">
        <v>787</v>
      </c>
      <c r="C592" s="46" t="s">
        <v>295</v>
      </c>
      <c r="D592" s="46" t="s">
        <v>473</v>
      </c>
      <c r="E592" s="46" t="s">
        <v>21</v>
      </c>
      <c r="F592" s="50">
        <f>SUM(F593:F594)</f>
        <v>85.8</v>
      </c>
      <c r="G592" s="4"/>
      <c r="H592" s="47">
        <f>F592*G592</f>
        <v>0</v>
      </c>
      <c r="I592" s="48" t="s">
        <v>259</v>
      </c>
      <c r="J592" s="278"/>
      <c r="K592" s="278"/>
      <c r="L592" s="278"/>
      <c r="M592" s="278"/>
      <c r="N592" s="278"/>
      <c r="O592" s="278"/>
      <c r="P592" s="278"/>
      <c r="Q592" s="278"/>
    </row>
    <row r="593" spans="1:36" s="136" customFormat="1" ht="27" customHeight="1">
      <c r="A593" s="144"/>
      <c r="B593" s="145"/>
      <c r="C593" s="145"/>
      <c r="D593" s="42" t="s">
        <v>260</v>
      </c>
      <c r="E593" s="145"/>
      <c r="F593" s="52">
        <f>73.6</f>
        <v>73.599999999999994</v>
      </c>
      <c r="G593" s="147"/>
      <c r="H593" s="47"/>
      <c r="I593" s="186"/>
      <c r="J593" s="278"/>
    </row>
    <row r="594" spans="1:36" s="136" customFormat="1" ht="13.5" customHeight="1">
      <c r="A594" s="144"/>
      <c r="B594" s="145"/>
      <c r="C594" s="145"/>
      <c r="D594" s="42" t="s">
        <v>261</v>
      </c>
      <c r="E594" s="145"/>
      <c r="F594" s="52">
        <f>3.05*4</f>
        <v>12.2</v>
      </c>
      <c r="G594" s="147"/>
      <c r="H594" s="47"/>
      <c r="I594" s="277"/>
    </row>
    <row r="595" spans="1:36" s="136" customFormat="1" ht="13.5" customHeight="1">
      <c r="A595" s="45">
        <v>171</v>
      </c>
      <c r="B595" s="46">
        <v>787</v>
      </c>
      <c r="C595" s="46" t="s">
        <v>296</v>
      </c>
      <c r="D595" s="46" t="s">
        <v>474</v>
      </c>
      <c r="E595" s="46" t="s">
        <v>21</v>
      </c>
      <c r="F595" s="50">
        <f>F596</f>
        <v>7.5</v>
      </c>
      <c r="G595" s="4"/>
      <c r="H595" s="47">
        <f>F595*G595</f>
        <v>0</v>
      </c>
      <c r="I595" s="48" t="s">
        <v>259</v>
      </c>
      <c r="J595" s="278"/>
      <c r="K595" s="278"/>
      <c r="L595" s="278"/>
      <c r="M595" s="278"/>
      <c r="N595" s="278"/>
      <c r="O595" s="278"/>
      <c r="P595" s="278"/>
      <c r="Q595" s="278"/>
    </row>
    <row r="596" spans="1:36" s="136" customFormat="1" ht="13.5" customHeight="1">
      <c r="A596" s="144"/>
      <c r="B596" s="145"/>
      <c r="C596" s="145"/>
      <c r="D596" s="42" t="s">
        <v>373</v>
      </c>
      <c r="E596" s="145"/>
      <c r="F596" s="52">
        <f>3.75*2</f>
        <v>7.5</v>
      </c>
      <c r="G596" s="147"/>
      <c r="H596" s="47"/>
      <c r="I596" s="277"/>
    </row>
    <row r="597" spans="1:36" s="61" customFormat="1" ht="13.5" customHeight="1">
      <c r="A597" s="45">
        <v>172</v>
      </c>
      <c r="B597" s="46">
        <v>787</v>
      </c>
      <c r="C597" s="46">
        <v>998787202</v>
      </c>
      <c r="D597" s="46" t="s">
        <v>272</v>
      </c>
      <c r="E597" s="46" t="s">
        <v>47</v>
      </c>
      <c r="F597" s="50">
        <v>1.93</v>
      </c>
      <c r="G597" s="11"/>
      <c r="H597" s="47">
        <f>F597*G597</f>
        <v>0</v>
      </c>
      <c r="I597" s="48" t="s">
        <v>183</v>
      </c>
      <c r="J597" s="279"/>
      <c r="K597" s="60"/>
      <c r="L597" s="60"/>
      <c r="M597" s="60"/>
      <c r="N597" s="60"/>
      <c r="O597" s="60"/>
      <c r="P597" s="60"/>
      <c r="Q597" s="60"/>
      <c r="R597" s="60"/>
      <c r="S597" s="60"/>
      <c r="T597" s="60"/>
      <c r="U597" s="60"/>
      <c r="V597" s="60"/>
      <c r="W597" s="60"/>
      <c r="X597" s="60"/>
      <c r="Y597" s="60"/>
      <c r="Z597" s="60"/>
      <c r="AA597" s="60"/>
      <c r="AB597" s="60"/>
      <c r="AC597" s="60"/>
      <c r="AD597" s="60"/>
      <c r="AE597" s="60"/>
      <c r="AF597" s="60"/>
      <c r="AG597" s="60"/>
      <c r="AH597" s="60"/>
      <c r="AI597" s="60"/>
      <c r="AJ597" s="60"/>
    </row>
    <row r="598" spans="1:36" ht="13.5" customHeight="1">
      <c r="A598" s="45">
        <v>173</v>
      </c>
      <c r="B598" s="46" t="s">
        <v>138</v>
      </c>
      <c r="C598" s="46" t="s">
        <v>273</v>
      </c>
      <c r="D598" s="46" t="s">
        <v>274</v>
      </c>
      <c r="E598" s="46" t="s">
        <v>28</v>
      </c>
      <c r="F598" s="50">
        <f>F599</f>
        <v>50</v>
      </c>
      <c r="G598" s="11"/>
      <c r="H598" s="47">
        <f>F598*G598</f>
        <v>0</v>
      </c>
      <c r="I598" s="48" t="s">
        <v>183</v>
      </c>
      <c r="T598" s="63"/>
      <c r="U598" s="63"/>
      <c r="V598" s="63"/>
      <c r="W598" s="63"/>
      <c r="X598" s="63"/>
      <c r="Y598" s="63"/>
      <c r="Z598" s="63"/>
      <c r="AA598" s="63"/>
      <c r="AB598" s="63"/>
      <c r="AC598" s="63"/>
      <c r="AD598" s="63"/>
      <c r="AE598" s="63"/>
      <c r="AF598" s="63"/>
      <c r="AG598" s="63"/>
      <c r="AH598" s="63"/>
      <c r="AI598" s="63"/>
      <c r="AJ598" s="63"/>
    </row>
    <row r="599" spans="1:36" ht="13.5" customHeight="1">
      <c r="A599" s="144"/>
      <c r="B599" s="145"/>
      <c r="C599" s="145"/>
      <c r="D599" s="42" t="s">
        <v>275</v>
      </c>
      <c r="E599" s="145"/>
      <c r="F599" s="52">
        <v>50</v>
      </c>
      <c r="G599" s="147"/>
      <c r="H599" s="47"/>
      <c r="I599" s="186"/>
      <c r="T599" s="63"/>
      <c r="U599" s="63"/>
      <c r="V599" s="63"/>
      <c r="W599" s="63"/>
      <c r="X599" s="63"/>
      <c r="Y599" s="63"/>
      <c r="Z599" s="63"/>
      <c r="AA599" s="63"/>
      <c r="AB599" s="63"/>
      <c r="AC599" s="63"/>
      <c r="AD599" s="63"/>
      <c r="AE599" s="63"/>
      <c r="AF599" s="63"/>
      <c r="AG599" s="63"/>
      <c r="AH599" s="63"/>
      <c r="AI599" s="63"/>
      <c r="AJ599" s="63"/>
    </row>
    <row r="600" spans="1:36" ht="13.5" customHeight="1">
      <c r="A600" s="144"/>
      <c r="B600" s="145"/>
      <c r="C600" s="145"/>
      <c r="D600" s="42" t="s">
        <v>50</v>
      </c>
      <c r="E600" s="145"/>
      <c r="F600" s="52"/>
      <c r="G600" s="147"/>
      <c r="H600" s="47"/>
      <c r="I600" s="186"/>
      <c r="T600" s="63"/>
      <c r="U600" s="63"/>
      <c r="V600" s="63"/>
      <c r="W600" s="63"/>
      <c r="X600" s="63"/>
      <c r="Y600" s="63"/>
      <c r="Z600" s="63"/>
      <c r="AA600" s="63"/>
      <c r="AB600" s="63"/>
      <c r="AC600" s="63"/>
      <c r="AD600" s="63"/>
      <c r="AE600" s="63"/>
      <c r="AF600" s="63"/>
      <c r="AG600" s="63"/>
      <c r="AH600" s="63"/>
      <c r="AI600" s="63"/>
      <c r="AJ600" s="63"/>
    </row>
    <row r="601" spans="1:36" s="136" customFormat="1" ht="13.5" customHeight="1">
      <c r="A601" s="111"/>
      <c r="B601" s="112"/>
      <c r="C601" s="112">
        <v>790</v>
      </c>
      <c r="D601" s="112" t="s">
        <v>104</v>
      </c>
      <c r="E601" s="112"/>
      <c r="F601" s="113"/>
      <c r="G601" s="114"/>
      <c r="H601" s="114">
        <f>SUM(H602:H608)</f>
        <v>0</v>
      </c>
      <c r="I601" s="48"/>
    </row>
    <row r="602" spans="1:36" s="64" customFormat="1" ht="25.5" customHeight="1">
      <c r="A602" s="45">
        <v>174</v>
      </c>
      <c r="B602" s="46">
        <v>790</v>
      </c>
      <c r="C602" s="46" t="s">
        <v>681</v>
      </c>
      <c r="D602" s="46" t="s">
        <v>130</v>
      </c>
      <c r="E602" s="46" t="s">
        <v>61</v>
      </c>
      <c r="F602" s="50">
        <v>1</v>
      </c>
      <c r="G602" s="11"/>
      <c r="H602" s="47">
        <f t="shared" ref="H602:H606" si="3">F602*G602</f>
        <v>0</v>
      </c>
      <c r="I602" s="48" t="s">
        <v>192</v>
      </c>
      <c r="J602" s="131"/>
      <c r="K602" s="60"/>
      <c r="L602" s="60"/>
      <c r="M602" s="60"/>
      <c r="N602" s="60"/>
      <c r="O602" s="60"/>
      <c r="P602" s="60"/>
      <c r="Q602" s="60"/>
      <c r="R602" s="60"/>
      <c r="S602" s="60"/>
    </row>
    <row r="603" spans="1:36" s="64" customFormat="1" ht="13.5" customHeight="1">
      <c r="A603" s="45">
        <v>175</v>
      </c>
      <c r="B603" s="46">
        <v>790</v>
      </c>
      <c r="C603" s="46" t="s">
        <v>682</v>
      </c>
      <c r="D603" s="46" t="s">
        <v>282</v>
      </c>
      <c r="E603" s="46" t="s">
        <v>61</v>
      </c>
      <c r="F603" s="50">
        <v>1</v>
      </c>
      <c r="G603" s="11"/>
      <c r="H603" s="47">
        <f t="shared" si="3"/>
        <v>0</v>
      </c>
      <c r="I603" s="48" t="s">
        <v>192</v>
      </c>
      <c r="J603" s="131"/>
      <c r="K603" s="60"/>
      <c r="L603" s="60"/>
      <c r="M603" s="60"/>
      <c r="N603" s="60"/>
      <c r="O603" s="60"/>
      <c r="P603" s="60"/>
      <c r="Q603" s="60"/>
      <c r="R603" s="60"/>
      <c r="S603" s="60"/>
    </row>
    <row r="604" spans="1:36" s="61" customFormat="1" ht="13.5" customHeight="1">
      <c r="A604" s="45">
        <v>176</v>
      </c>
      <c r="B604" s="51" t="s">
        <v>105</v>
      </c>
      <c r="C604" s="46" t="s">
        <v>683</v>
      </c>
      <c r="D604" s="46" t="s">
        <v>684</v>
      </c>
      <c r="E604" s="46" t="s">
        <v>61</v>
      </c>
      <c r="F604" s="50">
        <v>1</v>
      </c>
      <c r="G604" s="11"/>
      <c r="H604" s="47">
        <f t="shared" si="3"/>
        <v>0</v>
      </c>
      <c r="I604" s="48" t="s">
        <v>192</v>
      </c>
      <c r="J604" s="60"/>
      <c r="K604" s="60"/>
      <c r="L604" s="60"/>
      <c r="M604" s="60"/>
      <c r="N604" s="60"/>
      <c r="O604" s="60"/>
      <c r="P604" s="60"/>
      <c r="Q604" s="60"/>
      <c r="R604" s="60"/>
      <c r="S604" s="60"/>
    </row>
    <row r="605" spans="1:36" s="60" customFormat="1" ht="13.5" customHeight="1">
      <c r="A605" s="45">
        <v>177</v>
      </c>
      <c r="B605" s="51" t="s">
        <v>105</v>
      </c>
      <c r="C605" s="46" t="s">
        <v>106</v>
      </c>
      <c r="D605" s="46" t="s">
        <v>132</v>
      </c>
      <c r="E605" s="46" t="s">
        <v>47</v>
      </c>
      <c r="F605" s="50">
        <v>1.1000000000000001</v>
      </c>
      <c r="G605" s="11"/>
      <c r="H605" s="47">
        <f t="shared" si="3"/>
        <v>0</v>
      </c>
      <c r="I605" s="48" t="s">
        <v>192</v>
      </c>
      <c r="J605" s="155"/>
    </row>
    <row r="606" spans="1:36" s="153" customFormat="1" ht="13.5" customHeight="1">
      <c r="A606" s="45">
        <v>178</v>
      </c>
      <c r="B606" s="46" t="s">
        <v>138</v>
      </c>
      <c r="C606" s="46" t="s">
        <v>107</v>
      </c>
      <c r="D606" s="46" t="s">
        <v>108</v>
      </c>
      <c r="E606" s="46" t="s">
        <v>28</v>
      </c>
      <c r="F606" s="50">
        <f>F607</f>
        <v>10</v>
      </c>
      <c r="G606" s="11"/>
      <c r="H606" s="47">
        <f t="shared" si="3"/>
        <v>0</v>
      </c>
      <c r="I606" s="48" t="s">
        <v>183</v>
      </c>
      <c r="J606" s="60"/>
      <c r="K606" s="84"/>
      <c r="L606" s="84"/>
      <c r="M606" s="84"/>
      <c r="N606" s="84"/>
      <c r="O606" s="84"/>
      <c r="P606" s="84"/>
      <c r="Q606" s="84"/>
      <c r="R606" s="84"/>
      <c r="S606" s="84"/>
    </row>
    <row r="607" spans="1:36" s="61" customFormat="1" ht="13.5" customHeight="1">
      <c r="A607" s="144"/>
      <c r="B607" s="145"/>
      <c r="C607" s="145"/>
      <c r="D607" s="42" t="s">
        <v>281</v>
      </c>
      <c r="E607" s="145"/>
      <c r="F607" s="157">
        <v>10</v>
      </c>
      <c r="G607" s="147"/>
      <c r="H607" s="47"/>
      <c r="I607" s="186"/>
      <c r="J607" s="60"/>
      <c r="K607" s="60"/>
      <c r="L607" s="60"/>
      <c r="M607" s="60"/>
      <c r="N607" s="60"/>
      <c r="O607" s="60"/>
      <c r="P607" s="60"/>
      <c r="Q607" s="60"/>
      <c r="R607" s="60"/>
      <c r="S607" s="60"/>
    </row>
    <row r="608" spans="1:36" s="61" customFormat="1" ht="13.5" customHeight="1">
      <c r="A608" s="144"/>
      <c r="B608" s="145"/>
      <c r="C608" s="145"/>
      <c r="D608" s="42" t="s">
        <v>50</v>
      </c>
      <c r="E608" s="145"/>
      <c r="F608" s="52"/>
      <c r="G608" s="147"/>
      <c r="H608" s="47"/>
      <c r="I608" s="186"/>
      <c r="J608" s="60"/>
      <c r="K608" s="60"/>
      <c r="L608" s="60"/>
      <c r="M608" s="60"/>
      <c r="N608" s="60"/>
      <c r="O608" s="60"/>
      <c r="P608" s="60"/>
      <c r="Q608" s="60"/>
      <c r="R608" s="60"/>
      <c r="S608" s="60"/>
    </row>
    <row r="609" spans="1:19" s="60" customFormat="1" ht="21" customHeight="1">
      <c r="A609" s="111"/>
      <c r="B609" s="189"/>
      <c r="C609" s="112" t="s">
        <v>116</v>
      </c>
      <c r="D609" s="112" t="s">
        <v>117</v>
      </c>
      <c r="E609" s="112"/>
      <c r="F609" s="113"/>
      <c r="G609" s="114"/>
      <c r="H609" s="114">
        <f>H610</f>
        <v>0</v>
      </c>
      <c r="I609" s="186"/>
    </row>
    <row r="610" spans="1:19" s="136" customFormat="1" ht="13.5" customHeight="1">
      <c r="A610" s="111"/>
      <c r="B610" s="112"/>
      <c r="C610" s="112" t="s">
        <v>114</v>
      </c>
      <c r="D610" s="112" t="s">
        <v>115</v>
      </c>
      <c r="E610" s="112"/>
      <c r="F610" s="113"/>
      <c r="G610" s="114"/>
      <c r="H610" s="114">
        <f>SUM(H611:H634)</f>
        <v>0</v>
      </c>
      <c r="I610" s="277"/>
    </row>
    <row r="611" spans="1:19" s="168" customFormat="1" ht="13.5" customHeight="1">
      <c r="A611" s="45">
        <v>179</v>
      </c>
      <c r="B611" s="51" t="s">
        <v>126</v>
      </c>
      <c r="C611" s="46" t="s">
        <v>127</v>
      </c>
      <c r="D611" s="46" t="s">
        <v>118</v>
      </c>
      <c r="E611" s="46" t="s">
        <v>119</v>
      </c>
      <c r="F611" s="50">
        <f>SUM(F616:F619)</f>
        <v>7600</v>
      </c>
      <c r="G611" s="11"/>
      <c r="H611" s="47">
        <f>F611*G611</f>
        <v>0</v>
      </c>
      <c r="I611" s="48" t="s">
        <v>192</v>
      </c>
      <c r="J611" s="136"/>
      <c r="K611" s="136"/>
      <c r="L611" s="136"/>
      <c r="M611" s="136"/>
      <c r="N611" s="136"/>
      <c r="O611" s="136"/>
      <c r="P611" s="136"/>
      <c r="Q611" s="136"/>
      <c r="R611" s="136"/>
      <c r="S611" s="136"/>
    </row>
    <row r="612" spans="1:19" s="168" customFormat="1" ht="26.25" customHeight="1">
      <c r="A612" s="45"/>
      <c r="B612" s="51"/>
      <c r="C612" s="46"/>
      <c r="D612" s="42" t="s">
        <v>120</v>
      </c>
      <c r="E612" s="46"/>
      <c r="F612" s="52"/>
      <c r="G612" s="47"/>
      <c r="H612" s="47"/>
      <c r="I612" s="53"/>
      <c r="J612" s="280"/>
      <c r="K612" s="280"/>
      <c r="L612" s="136"/>
      <c r="M612" s="136"/>
      <c r="N612" s="136"/>
      <c r="O612" s="136"/>
      <c r="P612" s="136"/>
      <c r="Q612" s="136"/>
      <c r="R612" s="136"/>
      <c r="S612" s="136"/>
    </row>
    <row r="613" spans="1:19" s="168" customFormat="1" ht="27" customHeight="1">
      <c r="A613" s="45"/>
      <c r="B613" s="51"/>
      <c r="C613" s="46"/>
      <c r="D613" s="42" t="s">
        <v>121</v>
      </c>
      <c r="E613" s="46"/>
      <c r="F613" s="52"/>
      <c r="G613" s="47"/>
      <c r="H613" s="47"/>
      <c r="I613" s="53"/>
      <c r="J613" s="281"/>
      <c r="K613" s="281"/>
      <c r="L613" s="136"/>
      <c r="M613" s="136"/>
      <c r="N613" s="136"/>
      <c r="O613" s="136"/>
      <c r="P613" s="136"/>
      <c r="Q613" s="136"/>
      <c r="R613" s="136"/>
      <c r="S613" s="136"/>
    </row>
    <row r="614" spans="1:19" s="168" customFormat="1" ht="40.5" customHeight="1">
      <c r="A614" s="45"/>
      <c r="B614" s="51"/>
      <c r="C614" s="46"/>
      <c r="D614" s="42" t="s">
        <v>165</v>
      </c>
      <c r="E614" s="46"/>
      <c r="F614" s="52"/>
      <c r="G614" s="47"/>
      <c r="H614" s="47"/>
      <c r="I614" s="53"/>
      <c r="J614" s="280"/>
      <c r="K614" s="280"/>
      <c r="L614" s="136"/>
      <c r="M614" s="136"/>
      <c r="N614" s="136"/>
      <c r="O614" s="136"/>
      <c r="P614" s="136"/>
      <c r="Q614" s="136"/>
      <c r="R614" s="136"/>
      <c r="S614" s="136"/>
    </row>
    <row r="615" spans="1:19" s="168" customFormat="1" ht="26.25" customHeight="1">
      <c r="A615" s="45"/>
      <c r="B615" s="51"/>
      <c r="C615" s="46"/>
      <c r="D615" s="42" t="s">
        <v>122</v>
      </c>
      <c r="E615" s="46"/>
      <c r="F615" s="52"/>
      <c r="G615" s="47"/>
      <c r="H615" s="47"/>
      <c r="I615" s="53"/>
      <c r="J615" s="280"/>
      <c r="K615" s="280"/>
      <c r="L615" s="136"/>
      <c r="M615" s="136"/>
      <c r="N615" s="136"/>
      <c r="O615" s="136"/>
      <c r="P615" s="136"/>
      <c r="Q615" s="136"/>
      <c r="R615" s="136"/>
      <c r="S615" s="136"/>
    </row>
    <row r="616" spans="1:19" s="136" customFormat="1" ht="13.5" customHeight="1">
      <c r="A616" s="45"/>
      <c r="B616" s="51"/>
      <c r="C616" s="46"/>
      <c r="D616" s="42" t="s">
        <v>374</v>
      </c>
      <c r="E616" s="46"/>
      <c r="F616" s="52">
        <v>2500</v>
      </c>
      <c r="G616" s="47"/>
      <c r="H616" s="47"/>
      <c r="I616" s="53"/>
      <c r="J616" s="280"/>
      <c r="K616" s="280"/>
    </row>
    <row r="617" spans="1:19" s="136" customFormat="1" ht="13.5" customHeight="1">
      <c r="A617" s="45"/>
      <c r="B617" s="51"/>
      <c r="C617" s="46"/>
      <c r="D617" s="42" t="s">
        <v>383</v>
      </c>
      <c r="E617" s="46"/>
      <c r="F617" s="52">
        <v>2900</v>
      </c>
      <c r="G617" s="47"/>
      <c r="H617" s="47"/>
      <c r="I617" s="53"/>
      <c r="J617" s="280"/>
      <c r="K617" s="280"/>
    </row>
    <row r="618" spans="1:19" s="136" customFormat="1" ht="13.5" customHeight="1">
      <c r="A618" s="45"/>
      <c r="B618" s="51"/>
      <c r="C618" s="46"/>
      <c r="D618" s="42" t="s">
        <v>382</v>
      </c>
      <c r="E618" s="46"/>
      <c r="F618" s="52">
        <v>1500</v>
      </c>
      <c r="G618" s="47"/>
      <c r="H618" s="47"/>
      <c r="I618" s="53"/>
      <c r="J618" s="280"/>
      <c r="K618" s="280"/>
    </row>
    <row r="619" spans="1:19" s="136" customFormat="1" ht="13.5" customHeight="1">
      <c r="A619" s="45"/>
      <c r="B619" s="51"/>
      <c r="C619" s="46"/>
      <c r="D619" s="42" t="s">
        <v>384</v>
      </c>
      <c r="E619" s="46"/>
      <c r="F619" s="52">
        <v>700</v>
      </c>
      <c r="G619" s="47"/>
      <c r="H619" s="47"/>
      <c r="I619" s="53"/>
      <c r="J619" s="280"/>
      <c r="K619" s="280"/>
    </row>
    <row r="620" spans="1:19" s="168" customFormat="1" ht="13.5" customHeight="1">
      <c r="A620" s="45">
        <v>180</v>
      </c>
      <c r="B620" s="51" t="s">
        <v>126</v>
      </c>
      <c r="C620" s="46" t="s">
        <v>168</v>
      </c>
      <c r="D620" s="46" t="s">
        <v>118</v>
      </c>
      <c r="E620" s="46" t="s">
        <v>119</v>
      </c>
      <c r="F620" s="50">
        <f>SUM(F625)</f>
        <v>1000</v>
      </c>
      <c r="G620" s="11"/>
      <c r="H620" s="47">
        <f>F620*G620</f>
        <v>0</v>
      </c>
      <c r="I620" s="48" t="s">
        <v>192</v>
      </c>
      <c r="J620" s="136"/>
      <c r="K620" s="136"/>
      <c r="L620" s="136"/>
      <c r="M620" s="136"/>
      <c r="N620" s="136"/>
      <c r="O620" s="136"/>
      <c r="P620" s="136"/>
      <c r="Q620" s="136"/>
      <c r="R620" s="136"/>
      <c r="S620" s="136"/>
    </row>
    <row r="621" spans="1:19" s="168" customFormat="1" ht="26.25" customHeight="1">
      <c r="A621" s="45"/>
      <c r="B621" s="51"/>
      <c r="C621" s="46"/>
      <c r="D621" s="42" t="s">
        <v>120</v>
      </c>
      <c r="E621" s="46"/>
      <c r="F621" s="52"/>
      <c r="G621" s="47"/>
      <c r="H621" s="47"/>
      <c r="I621" s="53"/>
      <c r="J621" s="280"/>
      <c r="K621" s="280"/>
      <c r="L621" s="136"/>
      <c r="M621" s="136"/>
      <c r="N621" s="136"/>
      <c r="O621" s="136"/>
      <c r="P621" s="136"/>
      <c r="Q621" s="136"/>
      <c r="R621" s="136"/>
      <c r="S621" s="136"/>
    </row>
    <row r="622" spans="1:19" s="168" customFormat="1" ht="27" customHeight="1">
      <c r="A622" s="45"/>
      <c r="B622" s="51"/>
      <c r="C622" s="46"/>
      <c r="D622" s="42" t="s">
        <v>166</v>
      </c>
      <c r="E622" s="46"/>
      <c r="F622" s="52"/>
      <c r="G622" s="47"/>
      <c r="H622" s="47"/>
      <c r="I622" s="53"/>
      <c r="J622" s="281"/>
      <c r="K622" s="281"/>
      <c r="L622" s="136"/>
      <c r="M622" s="136"/>
      <c r="N622" s="136"/>
      <c r="O622" s="136"/>
      <c r="P622" s="136"/>
      <c r="Q622" s="136"/>
      <c r="R622" s="136"/>
      <c r="S622" s="136"/>
    </row>
    <row r="623" spans="1:19" s="168" customFormat="1" ht="40.5" customHeight="1">
      <c r="A623" s="45"/>
      <c r="B623" s="51"/>
      <c r="C623" s="46"/>
      <c r="D623" s="42" t="s">
        <v>165</v>
      </c>
      <c r="E623" s="46"/>
      <c r="F623" s="52"/>
      <c r="G623" s="47"/>
      <c r="H623" s="47"/>
      <c r="I623" s="53"/>
      <c r="J623" s="280"/>
      <c r="K623" s="280"/>
      <c r="L623" s="136"/>
      <c r="M623" s="136"/>
      <c r="N623" s="136"/>
      <c r="O623" s="136"/>
      <c r="P623" s="136"/>
      <c r="Q623" s="136"/>
      <c r="R623" s="136"/>
      <c r="S623" s="136"/>
    </row>
    <row r="624" spans="1:19" s="168" customFormat="1" ht="26.25" customHeight="1">
      <c r="A624" s="45"/>
      <c r="B624" s="51"/>
      <c r="C624" s="46"/>
      <c r="D624" s="42" t="s">
        <v>122</v>
      </c>
      <c r="E624" s="46"/>
      <c r="F624" s="52"/>
      <c r="G624" s="47"/>
      <c r="H624" s="47"/>
      <c r="I624" s="53"/>
      <c r="J624" s="280"/>
      <c r="K624" s="280"/>
      <c r="L624" s="136"/>
      <c r="M624" s="136"/>
      <c r="N624" s="136"/>
      <c r="O624" s="136"/>
      <c r="P624" s="136"/>
      <c r="Q624" s="136"/>
      <c r="R624" s="136"/>
      <c r="S624" s="136"/>
    </row>
    <row r="625" spans="1:19" s="136" customFormat="1" ht="13.5" customHeight="1">
      <c r="A625" s="45"/>
      <c r="B625" s="51"/>
      <c r="C625" s="46"/>
      <c r="D625" s="42" t="s">
        <v>382</v>
      </c>
      <c r="E625" s="46"/>
      <c r="F625" s="52">
        <v>1000</v>
      </c>
      <c r="G625" s="47"/>
      <c r="H625" s="47"/>
      <c r="I625" s="53"/>
      <c r="J625" s="280"/>
      <c r="K625" s="280"/>
    </row>
    <row r="626" spans="1:19" s="168" customFormat="1" ht="13.5" customHeight="1">
      <c r="A626" s="45">
        <v>181</v>
      </c>
      <c r="B626" s="51" t="s">
        <v>126</v>
      </c>
      <c r="C626" s="46" t="s">
        <v>169</v>
      </c>
      <c r="D626" s="46" t="s">
        <v>118</v>
      </c>
      <c r="E626" s="46" t="s">
        <v>119</v>
      </c>
      <c r="F626" s="50">
        <f>SUM(F631)</f>
        <v>200</v>
      </c>
      <c r="G626" s="11"/>
      <c r="H626" s="47">
        <f>F626*G626</f>
        <v>0</v>
      </c>
      <c r="I626" s="48" t="s">
        <v>192</v>
      </c>
      <c r="J626" s="136"/>
      <c r="K626" s="136"/>
      <c r="L626" s="136"/>
      <c r="M626" s="136"/>
      <c r="N626" s="136"/>
      <c r="O626" s="136"/>
      <c r="P626" s="136"/>
      <c r="Q626" s="136"/>
      <c r="R626" s="136"/>
      <c r="S626" s="136"/>
    </row>
    <row r="627" spans="1:19" s="168" customFormat="1" ht="26.25" customHeight="1">
      <c r="A627" s="45"/>
      <c r="B627" s="51"/>
      <c r="C627" s="46"/>
      <c r="D627" s="42" t="s">
        <v>120</v>
      </c>
      <c r="E627" s="46"/>
      <c r="F627" s="52"/>
      <c r="G627" s="47"/>
      <c r="H627" s="47"/>
      <c r="I627" s="53"/>
      <c r="J627" s="280"/>
      <c r="K627" s="280"/>
      <c r="L627" s="136"/>
      <c r="M627" s="136"/>
      <c r="N627" s="136"/>
      <c r="O627" s="136"/>
      <c r="P627" s="136"/>
      <c r="Q627" s="136"/>
      <c r="R627" s="136"/>
      <c r="S627" s="136"/>
    </row>
    <row r="628" spans="1:19" s="168" customFormat="1" ht="27" customHeight="1">
      <c r="A628" s="45"/>
      <c r="B628" s="51"/>
      <c r="C628" s="46"/>
      <c r="D628" s="42" t="s">
        <v>385</v>
      </c>
      <c r="E628" s="46"/>
      <c r="F628" s="52"/>
      <c r="G628" s="47"/>
      <c r="H628" s="47"/>
      <c r="I628" s="53"/>
      <c r="J628" s="281"/>
      <c r="K628" s="281"/>
      <c r="L628" s="136"/>
      <c r="M628" s="136"/>
      <c r="N628" s="136"/>
      <c r="O628" s="136"/>
      <c r="P628" s="136"/>
      <c r="Q628" s="136"/>
      <c r="R628" s="136"/>
      <c r="S628" s="136"/>
    </row>
    <row r="629" spans="1:19" s="168" customFormat="1" ht="40.5" customHeight="1">
      <c r="A629" s="45"/>
      <c r="B629" s="51"/>
      <c r="C629" s="46"/>
      <c r="D629" s="42" t="s">
        <v>165</v>
      </c>
      <c r="E629" s="46"/>
      <c r="F629" s="52"/>
      <c r="G629" s="47"/>
      <c r="H629" s="47"/>
      <c r="I629" s="53"/>
      <c r="J629" s="280"/>
      <c r="K629" s="280"/>
      <c r="L629" s="136"/>
      <c r="M629" s="136"/>
      <c r="N629" s="136"/>
      <c r="O629" s="136"/>
      <c r="P629" s="136"/>
      <c r="Q629" s="136"/>
      <c r="R629" s="136"/>
      <c r="S629" s="136"/>
    </row>
    <row r="630" spans="1:19" s="168" customFormat="1" ht="26.25" customHeight="1">
      <c r="A630" s="45"/>
      <c r="B630" s="51"/>
      <c r="C630" s="46"/>
      <c r="D630" s="42" t="s">
        <v>122</v>
      </c>
      <c r="E630" s="46"/>
      <c r="F630" s="52"/>
      <c r="G630" s="47"/>
      <c r="H630" s="47"/>
      <c r="I630" s="53"/>
      <c r="J630" s="280"/>
      <c r="K630" s="280"/>
      <c r="L630" s="136"/>
      <c r="M630" s="136"/>
      <c r="N630" s="136"/>
      <c r="O630" s="136"/>
      <c r="P630" s="136"/>
      <c r="Q630" s="136"/>
      <c r="R630" s="136"/>
      <c r="S630" s="136"/>
    </row>
    <row r="631" spans="1:19" s="136" customFormat="1" ht="13.5" customHeight="1">
      <c r="A631" s="45"/>
      <c r="B631" s="51"/>
      <c r="C631" s="46"/>
      <c r="D631" s="42" t="s">
        <v>381</v>
      </c>
      <c r="E631" s="46"/>
      <c r="F631" s="52">
        <v>200</v>
      </c>
      <c r="G631" s="47"/>
      <c r="H631" s="47"/>
      <c r="I631" s="53"/>
      <c r="J631" s="280"/>
      <c r="K631" s="280"/>
    </row>
    <row r="632" spans="1:19" s="168" customFormat="1" ht="13.5" customHeight="1">
      <c r="A632" s="45">
        <v>182</v>
      </c>
      <c r="B632" s="46" t="s">
        <v>138</v>
      </c>
      <c r="C632" s="46" t="s">
        <v>123</v>
      </c>
      <c r="D632" s="46" t="s">
        <v>124</v>
      </c>
      <c r="E632" s="46" t="s">
        <v>28</v>
      </c>
      <c r="F632" s="50">
        <f>F633</f>
        <v>50</v>
      </c>
      <c r="G632" s="11"/>
      <c r="H632" s="47">
        <f>F632*G632</f>
        <v>0</v>
      </c>
      <c r="I632" s="48" t="s">
        <v>183</v>
      </c>
      <c r="J632" s="136"/>
      <c r="K632" s="136"/>
      <c r="L632" s="136"/>
      <c r="M632" s="136"/>
      <c r="N632" s="136"/>
      <c r="O632" s="136"/>
      <c r="P632" s="136"/>
      <c r="Q632" s="136"/>
      <c r="R632" s="136"/>
      <c r="S632" s="136"/>
    </row>
    <row r="633" spans="1:19" s="168" customFormat="1" ht="13.5" customHeight="1">
      <c r="A633" s="144"/>
      <c r="B633" s="145"/>
      <c r="C633" s="145"/>
      <c r="D633" s="42" t="s">
        <v>125</v>
      </c>
      <c r="E633" s="145"/>
      <c r="F633" s="52">
        <v>50</v>
      </c>
      <c r="G633" s="147"/>
      <c r="H633" s="47"/>
      <c r="I633" s="186"/>
      <c r="J633" s="136"/>
      <c r="K633" s="136"/>
      <c r="L633" s="136"/>
      <c r="M633" s="136"/>
      <c r="N633" s="136"/>
      <c r="O633" s="136"/>
      <c r="P633" s="136"/>
      <c r="Q633" s="136"/>
      <c r="R633" s="136"/>
      <c r="S633" s="136"/>
    </row>
    <row r="634" spans="1:19" s="168" customFormat="1" ht="13.5" customHeight="1">
      <c r="A634" s="144"/>
      <c r="B634" s="145"/>
      <c r="C634" s="145"/>
      <c r="D634" s="42" t="s">
        <v>50</v>
      </c>
      <c r="E634" s="145"/>
      <c r="F634" s="52"/>
      <c r="G634" s="147"/>
      <c r="H634" s="47"/>
      <c r="I634" s="186"/>
      <c r="J634" s="136"/>
      <c r="K634" s="136"/>
      <c r="L634" s="136"/>
      <c r="M634" s="136"/>
      <c r="N634" s="136"/>
      <c r="O634" s="136"/>
      <c r="P634" s="136"/>
      <c r="Q634" s="136"/>
      <c r="R634" s="136"/>
      <c r="S634" s="136"/>
    </row>
    <row r="635" spans="1:19" s="61" customFormat="1" ht="21" customHeight="1">
      <c r="A635" s="282"/>
      <c r="B635" s="283"/>
      <c r="C635" s="283"/>
      <c r="D635" s="283" t="s">
        <v>18</v>
      </c>
      <c r="E635" s="283"/>
      <c r="F635" s="284"/>
      <c r="G635" s="285"/>
      <c r="H635" s="286">
        <f>H8+H398+H609</f>
        <v>0</v>
      </c>
      <c r="J635" s="60"/>
      <c r="K635" s="60"/>
      <c r="L635" s="60"/>
      <c r="M635" s="60"/>
      <c r="N635" s="60"/>
      <c r="O635" s="60"/>
      <c r="P635" s="60"/>
      <c r="Q635" s="60"/>
      <c r="R635" s="60"/>
      <c r="S635" s="60"/>
    </row>
    <row r="636" spans="1:19" s="292" customFormat="1" ht="12" customHeight="1">
      <c r="A636" s="287"/>
      <c r="B636" s="288"/>
      <c r="C636" s="288"/>
      <c r="D636" s="288"/>
      <c r="E636" s="288"/>
      <c r="F636" s="289"/>
      <c r="G636" s="290"/>
      <c r="H636" s="291"/>
      <c r="J636" s="293"/>
      <c r="K636" s="293"/>
      <c r="L636" s="293"/>
      <c r="M636" s="293"/>
      <c r="N636" s="293"/>
      <c r="O636" s="293"/>
      <c r="P636" s="293"/>
      <c r="Q636" s="293"/>
      <c r="R636" s="293"/>
      <c r="S636" s="293"/>
    </row>
    <row r="637" spans="1:19" s="61" customFormat="1" ht="13.5" customHeight="1">
      <c r="A637" s="294" t="s">
        <v>19</v>
      </c>
      <c r="B637" s="295"/>
      <c r="C637" s="296"/>
      <c r="D637" s="297" t="s">
        <v>768</v>
      </c>
      <c r="E637" s="298"/>
      <c r="F637" s="299"/>
      <c r="G637" s="300"/>
      <c r="H637" s="301">
        <f>H635</f>
        <v>0</v>
      </c>
      <c r="I637" s="60"/>
      <c r="J637" s="60"/>
      <c r="K637" s="60"/>
      <c r="L637" s="225"/>
      <c r="M637" s="60"/>
      <c r="N637" s="60"/>
      <c r="O637" s="60"/>
      <c r="P637" s="60"/>
      <c r="Q637" s="60"/>
      <c r="R637" s="60"/>
      <c r="S637" s="60"/>
    </row>
    <row r="638" spans="1:19" s="61" customFormat="1" ht="13.5" customHeight="1">
      <c r="A638" s="302"/>
      <c r="B638" s="303"/>
      <c r="C638" s="303"/>
      <c r="D638" s="304"/>
      <c r="E638" s="305"/>
      <c r="F638" s="306"/>
      <c r="G638" s="307"/>
      <c r="H638" s="308"/>
      <c r="I638" s="60"/>
      <c r="J638" s="60"/>
      <c r="K638" s="60"/>
      <c r="L638" s="60"/>
      <c r="M638" s="60"/>
      <c r="N638" s="60"/>
      <c r="O638" s="60"/>
      <c r="P638" s="60"/>
      <c r="Q638" s="60"/>
      <c r="R638" s="60"/>
      <c r="S638" s="60"/>
    </row>
    <row r="639" spans="1:19" s="309" customFormat="1" ht="11.25">
      <c r="A639" s="309" t="s">
        <v>20</v>
      </c>
      <c r="G639" s="310"/>
      <c r="I639" s="310"/>
      <c r="J639" s="310"/>
      <c r="K639" s="310"/>
      <c r="L639" s="310"/>
      <c r="M639" s="310"/>
      <c r="N639" s="310"/>
      <c r="O639" s="310"/>
      <c r="P639" s="310"/>
      <c r="Q639" s="310"/>
      <c r="R639" s="310"/>
      <c r="S639" s="310"/>
    </row>
    <row r="640" spans="1:19" s="61" customFormat="1" ht="23.45" customHeight="1">
      <c r="A640" s="311" t="s">
        <v>24</v>
      </c>
      <c r="B640" s="312"/>
      <c r="C640" s="312"/>
      <c r="D640" s="312"/>
      <c r="E640" s="312"/>
      <c r="F640" s="312"/>
      <c r="G640" s="312"/>
      <c r="H640" s="310"/>
      <c r="I640" s="60"/>
      <c r="J640" s="60"/>
      <c r="K640" s="60"/>
      <c r="L640" s="60"/>
      <c r="M640" s="60"/>
      <c r="N640" s="60"/>
      <c r="O640" s="60"/>
      <c r="P640" s="60"/>
      <c r="Q640" s="60"/>
      <c r="R640" s="60"/>
      <c r="S640" s="60"/>
    </row>
    <row r="641" spans="1:19" s="309" customFormat="1" ht="93.75" customHeight="1">
      <c r="A641" s="313" t="s">
        <v>32</v>
      </c>
      <c r="B641" s="314"/>
      <c r="C641" s="314"/>
      <c r="D641" s="314"/>
      <c r="E641" s="314"/>
      <c r="F641" s="314"/>
      <c r="G641" s="314"/>
      <c r="J641" s="310"/>
      <c r="K641" s="310"/>
      <c r="L641" s="310"/>
      <c r="M641" s="310"/>
      <c r="N641" s="310"/>
      <c r="O641" s="310"/>
      <c r="P641" s="310"/>
      <c r="Q641" s="310"/>
      <c r="R641" s="310"/>
      <c r="S641" s="310"/>
    </row>
    <row r="642" spans="1:19" s="153" customFormat="1" ht="13.5" customHeight="1">
      <c r="A642" s="311" t="s">
        <v>25</v>
      </c>
      <c r="B642" s="315"/>
      <c r="C642" s="315"/>
      <c r="D642" s="315"/>
      <c r="E642" s="315"/>
      <c r="F642" s="315"/>
      <c r="G642" s="315"/>
      <c r="H642" s="316"/>
      <c r="I642" s="317"/>
      <c r="J642" s="84"/>
      <c r="K642" s="84"/>
      <c r="L642" s="84"/>
      <c r="M642" s="84"/>
      <c r="N642" s="84"/>
      <c r="O642" s="84"/>
      <c r="P642" s="84"/>
      <c r="Q642" s="84"/>
      <c r="R642" s="84"/>
      <c r="S642" s="84"/>
    </row>
    <row r="643" spans="1:19" s="153" customFormat="1" ht="13.5" customHeight="1">
      <c r="A643" s="311" t="s">
        <v>26</v>
      </c>
      <c r="B643" s="315"/>
      <c r="C643" s="315"/>
      <c r="D643" s="315"/>
      <c r="E643" s="315"/>
      <c r="F643" s="315"/>
      <c r="G643" s="315"/>
      <c r="H643" s="316"/>
      <c r="I643" s="317"/>
      <c r="J643" s="84"/>
      <c r="K643" s="84"/>
      <c r="L643" s="84"/>
      <c r="M643" s="84"/>
      <c r="N643" s="84"/>
      <c r="O643" s="84"/>
      <c r="P643" s="84"/>
      <c r="Q643" s="84"/>
      <c r="R643" s="84"/>
      <c r="S643" s="84"/>
    </row>
    <row r="644" spans="1:19" s="153" customFormat="1" ht="13.5" customHeight="1">
      <c r="A644" s="318"/>
      <c r="B644" s="319"/>
      <c r="C644" s="319"/>
      <c r="D644" s="319"/>
      <c r="E644" s="319"/>
      <c r="F644" s="319"/>
      <c r="G644" s="319"/>
      <c r="H644" s="316"/>
      <c r="I644" s="317"/>
      <c r="J644" s="84"/>
      <c r="K644" s="84"/>
      <c r="L644" s="84"/>
      <c r="M644" s="84"/>
      <c r="N644" s="84"/>
      <c r="O644" s="84"/>
      <c r="P644" s="84"/>
      <c r="Q644" s="84"/>
      <c r="R644" s="84"/>
      <c r="S644" s="84"/>
    </row>
    <row r="645" spans="1:19" s="153" customFormat="1" ht="13.5" customHeight="1">
      <c r="A645" s="318"/>
      <c r="B645" s="319"/>
      <c r="C645" s="319"/>
      <c r="D645" s="319"/>
      <c r="E645" s="319"/>
      <c r="F645" s="319"/>
      <c r="G645" s="319"/>
      <c r="H645" s="316"/>
      <c r="I645" s="317"/>
      <c r="J645" s="84"/>
      <c r="K645" s="84"/>
      <c r="L645" s="84"/>
      <c r="M645" s="84"/>
      <c r="N645" s="84"/>
      <c r="O645" s="84"/>
      <c r="P645" s="84"/>
      <c r="Q645" s="84"/>
      <c r="R645" s="84"/>
      <c r="S645" s="84"/>
    </row>
    <row r="646" spans="1:19" s="309" customFormat="1" ht="23.45" customHeight="1">
      <c r="A646" s="313"/>
      <c r="B646" s="320"/>
      <c r="C646" s="320"/>
      <c r="D646" s="320"/>
      <c r="E646" s="320"/>
      <c r="F646" s="320"/>
      <c r="G646" s="320"/>
      <c r="I646" s="310"/>
      <c r="J646" s="310"/>
      <c r="K646" s="310"/>
      <c r="L646" s="310"/>
      <c r="M646" s="310"/>
      <c r="N646" s="310"/>
      <c r="O646" s="310"/>
      <c r="P646" s="310"/>
      <c r="Q646" s="310"/>
      <c r="R646" s="310"/>
      <c r="S646" s="310"/>
    </row>
  </sheetData>
  <sheetProtection password="CAD9" sheet="1" objects="1" scenarios="1"/>
  <mergeCells count="7">
    <mergeCell ref="A646:G646"/>
    <mergeCell ref="A2:I2"/>
    <mergeCell ref="A637:C637"/>
    <mergeCell ref="A640:G640"/>
    <mergeCell ref="A641:G641"/>
    <mergeCell ref="A642:G642"/>
    <mergeCell ref="A643:G64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4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D.1.1. ASR</vt:lpstr>
      <vt:lpstr>'D.1.1. ASR'!Oblast_tisku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2018-08-02T07:37:50Z</dcterms:modified>
</cp:coreProperties>
</file>